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23.xml" ContentType="application/vnd.ms-excel.person+xml"/>
  <Override PartName="/xl/persons/person.xml" ContentType="application/vnd.ms-excel.person+xml"/>
  <Override PartName="/xl/persons/person2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uris\Desktop\cenu_aptauja_elektrība\"/>
    </mc:Choice>
  </mc:AlternateContent>
  <xr:revisionPtr revIDLastSave="0" documentId="13_ncr:1_{8E18C382-35DB-4BC9-B230-521D154C14D2}" xr6:coauthVersionLast="47" xr6:coauthVersionMax="47" xr10:uidLastSave="{00000000-0000-0000-0000-000000000000}"/>
  <bookViews>
    <workbookView xWindow="1776" yWindow="420" windowWidth="21252" windowHeight="11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97" i="1" l="1"/>
  <c r="M95" i="1"/>
  <c r="M94" i="1"/>
  <c r="M92" i="1"/>
  <c r="M91" i="1"/>
  <c r="M89" i="1"/>
  <c r="M86" i="1"/>
  <c r="M85" i="1"/>
  <c r="M83" i="1"/>
  <c r="M80" i="1"/>
  <c r="M79" i="1"/>
  <c r="M77" i="1"/>
  <c r="M76" i="1"/>
  <c r="M74" i="1"/>
  <c r="M73" i="1"/>
  <c r="M71" i="1"/>
  <c r="M68" i="1"/>
  <c r="M65" i="1"/>
  <c r="M61" i="1"/>
  <c r="M59" i="1"/>
  <c r="M58" i="1"/>
  <c r="M56" i="1"/>
  <c r="M55" i="1"/>
  <c r="M53" i="1"/>
  <c r="M52" i="1"/>
  <c r="M49" i="1"/>
  <c r="M47" i="1"/>
  <c r="M46" i="1"/>
  <c r="M44" i="1"/>
  <c r="M43" i="1"/>
  <c r="M40" i="1"/>
  <c r="AE40" i="1" s="1"/>
  <c r="M37" i="1"/>
  <c r="M35" i="1"/>
  <c r="M34" i="1"/>
  <c r="M32" i="1"/>
  <c r="M31" i="1"/>
  <c r="M29" i="1"/>
  <c r="M28" i="1"/>
  <c r="M26" i="1"/>
  <c r="M25" i="1"/>
  <c r="M23" i="1"/>
  <c r="M22" i="1"/>
  <c r="M20" i="1"/>
  <c r="M19" i="1"/>
  <c r="M17" i="1"/>
  <c r="M16" i="1"/>
  <c r="M14" i="1"/>
  <c r="M13" i="1"/>
  <c r="M11" i="1"/>
  <c r="M10" i="1"/>
  <c r="K95" i="1"/>
  <c r="K94" i="1"/>
  <c r="K92" i="1"/>
  <c r="K91" i="1"/>
  <c r="K89" i="1"/>
  <c r="K86" i="1"/>
  <c r="K85" i="1"/>
  <c r="K83" i="1"/>
  <c r="K80" i="1"/>
  <c r="K79" i="1"/>
  <c r="K77" i="1"/>
  <c r="K76" i="1"/>
  <c r="K74" i="1"/>
  <c r="K73" i="1"/>
  <c r="K71" i="1"/>
  <c r="K68" i="1"/>
  <c r="K65" i="1"/>
  <c r="K61" i="1"/>
  <c r="K59" i="1"/>
  <c r="K58" i="1"/>
  <c r="K56" i="1"/>
  <c r="K55" i="1"/>
  <c r="K53" i="1"/>
  <c r="K52" i="1"/>
  <c r="K49" i="1"/>
  <c r="K47" i="1"/>
  <c r="K46" i="1"/>
  <c r="K44" i="1"/>
  <c r="K43" i="1"/>
  <c r="K37" i="1"/>
  <c r="K35" i="1"/>
  <c r="K34" i="1"/>
  <c r="K32" i="1"/>
  <c r="K31" i="1"/>
  <c r="K29" i="1"/>
  <c r="K28" i="1"/>
  <c r="K26" i="1"/>
  <c r="K25" i="1"/>
  <c r="K23" i="1"/>
  <c r="K22" i="1"/>
  <c r="K20" i="1"/>
  <c r="K19" i="1"/>
  <c r="K17" i="1"/>
  <c r="K16" i="1"/>
  <c r="K14" i="1"/>
  <c r="K13" i="1"/>
  <c r="K11" i="1"/>
  <c r="K10" i="1"/>
  <c r="I95" i="1"/>
  <c r="I94" i="1"/>
  <c r="I92" i="1"/>
  <c r="I91" i="1"/>
  <c r="I89" i="1"/>
  <c r="I86" i="1"/>
  <c r="I85" i="1"/>
  <c r="I83" i="1"/>
  <c r="I80" i="1"/>
  <c r="I79" i="1"/>
  <c r="I77" i="1"/>
  <c r="I76" i="1"/>
  <c r="I74" i="1"/>
  <c r="I73" i="1"/>
  <c r="I71" i="1"/>
  <c r="I68" i="1"/>
  <c r="I65" i="1"/>
  <c r="AE65" i="1" s="1"/>
  <c r="I61" i="1"/>
  <c r="I59" i="1"/>
  <c r="I58" i="1"/>
  <c r="I56" i="1"/>
  <c r="I55" i="1"/>
  <c r="I53" i="1"/>
  <c r="I52" i="1"/>
  <c r="I49" i="1"/>
  <c r="AE49" i="1" s="1"/>
  <c r="I47" i="1"/>
  <c r="I46" i="1"/>
  <c r="I44" i="1"/>
  <c r="I43" i="1"/>
  <c r="AE43" i="1" s="1"/>
  <c r="I37" i="1"/>
  <c r="AE39" i="1"/>
  <c r="I35" i="1"/>
  <c r="I34" i="1"/>
  <c r="I32" i="1"/>
  <c r="I31" i="1"/>
  <c r="I29" i="1"/>
  <c r="I28" i="1"/>
  <c r="I26" i="1"/>
  <c r="I25" i="1"/>
  <c r="I23" i="1"/>
  <c r="I22" i="1"/>
  <c r="I20" i="1"/>
  <c r="I19" i="1"/>
  <c r="I17" i="1"/>
  <c r="I16" i="1"/>
  <c r="I14" i="1"/>
  <c r="I13" i="1"/>
  <c r="I10" i="1"/>
  <c r="AC96" i="1"/>
  <c r="AB96" i="1"/>
  <c r="AE12" i="1"/>
  <c r="AE15" i="1"/>
  <c r="AE18" i="1"/>
  <c r="AE21" i="1"/>
  <c r="AE24" i="1"/>
  <c r="AE27" i="1"/>
  <c r="AE28" i="1"/>
  <c r="AE30" i="1"/>
  <c r="AE33" i="1"/>
  <c r="AE36" i="1"/>
  <c r="AE42" i="1"/>
  <c r="AE45" i="1"/>
  <c r="AE48" i="1"/>
  <c r="AE51" i="1"/>
  <c r="AE54" i="1"/>
  <c r="AE57" i="1"/>
  <c r="AE60" i="1"/>
  <c r="AE63" i="1"/>
  <c r="AE66" i="1"/>
  <c r="AE69" i="1"/>
  <c r="AE72" i="1"/>
  <c r="AE75" i="1"/>
  <c r="AE78" i="1"/>
  <c r="AE81" i="1"/>
  <c r="AE84" i="1"/>
  <c r="AE87" i="1"/>
  <c r="AE90" i="1"/>
  <c r="AE93" i="1"/>
  <c r="AE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9" i="1"/>
  <c r="AD40" i="1"/>
  <c r="AD41" i="1"/>
  <c r="AD42" i="1"/>
  <c r="AD43" i="1"/>
  <c r="AD44" i="1"/>
  <c r="AD45" i="1"/>
  <c r="AD46" i="1"/>
  <c r="AD47" i="1"/>
  <c r="AD48" i="1"/>
  <c r="AD49" i="1"/>
  <c r="AD51" i="1"/>
  <c r="AD52" i="1"/>
  <c r="AD53" i="1"/>
  <c r="AD54" i="1"/>
  <c r="AD55" i="1"/>
  <c r="AD56" i="1"/>
  <c r="AD57" i="1"/>
  <c r="AD58" i="1"/>
  <c r="AD59" i="1"/>
  <c r="AD60" i="1"/>
  <c r="AD61" i="1"/>
  <c r="AD63" i="1"/>
  <c r="AD65" i="1"/>
  <c r="AD66" i="1"/>
  <c r="AD68" i="1"/>
  <c r="AD69" i="1"/>
  <c r="AD71" i="1"/>
  <c r="AD72" i="1"/>
  <c r="AD73" i="1"/>
  <c r="AD74" i="1"/>
  <c r="AD75" i="1"/>
  <c r="AD76" i="1"/>
  <c r="AD77" i="1"/>
  <c r="AD78" i="1"/>
  <c r="AD79" i="1"/>
  <c r="AD80" i="1"/>
  <c r="AD81" i="1"/>
  <c r="AD83" i="1"/>
  <c r="AD84" i="1"/>
  <c r="AD85" i="1"/>
  <c r="AD86" i="1"/>
  <c r="AD87" i="1"/>
  <c r="AD89" i="1"/>
  <c r="AD90" i="1"/>
  <c r="AD91" i="1"/>
  <c r="AD92" i="1"/>
  <c r="AD93" i="1"/>
  <c r="AD94" i="1"/>
  <c r="AD95" i="1"/>
  <c r="AD9" i="1"/>
  <c r="AE41" i="1"/>
  <c r="Z96" i="1"/>
  <c r="AE13" i="1" l="1"/>
  <c r="AE77" i="1"/>
  <c r="AE17" i="1"/>
  <c r="AE35" i="1"/>
  <c r="AE20" i="1"/>
  <c r="AE26" i="1"/>
  <c r="AE32" i="1"/>
  <c r="AE47" i="1"/>
  <c r="AE61" i="1"/>
  <c r="AE73" i="1"/>
  <c r="AE86" i="1"/>
  <c r="AE59" i="1"/>
  <c r="AE53" i="1"/>
  <c r="AE44" i="1"/>
  <c r="AE52" i="1"/>
  <c r="AE58" i="1"/>
  <c r="AE68" i="1"/>
  <c r="AE76" i="1"/>
  <c r="AE91" i="1"/>
  <c r="AE19" i="1"/>
  <c r="AE92" i="1"/>
  <c r="AE11" i="1"/>
  <c r="AE31" i="1"/>
  <c r="AE46" i="1"/>
  <c r="AE14" i="1"/>
  <c r="AE55" i="1"/>
  <c r="AE79" i="1"/>
  <c r="AE23" i="1"/>
  <c r="AE29" i="1"/>
  <c r="AE37" i="1"/>
  <c r="AE25" i="1"/>
  <c r="AE83" i="1"/>
  <c r="AE16" i="1"/>
  <c r="AE34" i="1"/>
  <c r="AE56" i="1"/>
  <c r="AE80" i="1"/>
  <c r="AE95" i="1"/>
  <c r="AE94" i="1"/>
  <c r="AE89" i="1"/>
  <c r="AE85" i="1"/>
  <c r="AE74" i="1"/>
  <c r="AE71" i="1"/>
  <c r="AE22" i="1"/>
  <c r="AE10" i="1"/>
  <c r="AA96" i="1"/>
  <c r="O96" i="1"/>
  <c r="M96" i="1"/>
  <c r="K96" i="1"/>
  <c r="I96" i="1"/>
  <c r="G96" i="1"/>
  <c r="D96" i="1"/>
  <c r="Y96" i="1" l="1"/>
  <c r="X96" i="1"/>
  <c r="W96" i="1"/>
  <c r="V96" i="1"/>
  <c r="U96" i="1"/>
  <c r="T96" i="1"/>
  <c r="S96" i="1"/>
  <c r="R96" i="1"/>
  <c r="Q96" i="1" l="1"/>
  <c r="AE96" i="1" s="1"/>
  <c r="P96" i="1"/>
  <c r="N96" i="1" l="1"/>
  <c r="L96" i="1" l="1"/>
  <c r="J96" i="1" l="1"/>
  <c r="H96" i="1"/>
  <c r="F96" i="1" l="1"/>
  <c r="AD96" i="1" s="1"/>
  <c r="C96" i="1" l="1"/>
</calcChain>
</file>

<file path=xl/sharedStrings.xml><?xml version="1.0" encoding="utf-8"?>
<sst xmlns="http://schemas.openxmlformats.org/spreadsheetml/2006/main" count="198" uniqueCount="75">
  <si>
    <t>Līgums Nr. 18367300008</t>
  </si>
  <si>
    <t>apkure</t>
  </si>
  <si>
    <t>Objekts</t>
  </si>
  <si>
    <t>kWh</t>
  </si>
  <si>
    <t>Attīrīšanas iekārtas Sēlpils pag. 35A</t>
  </si>
  <si>
    <t>Attīrīšanas iekārtas "Dzelmītes", Salas pag., 32A</t>
  </si>
  <si>
    <t>Ūdenssūknis, Biržu iela 10A, Birži 25A</t>
  </si>
  <si>
    <t>Attīrīšanas iekārtas "Ciemupes", Sala, 50A</t>
  </si>
  <si>
    <t>Attīrīšanas iekārtas "Ciemupes", Sala, 25A</t>
  </si>
  <si>
    <t>Katlu māja "Jaungravāni", 20A</t>
  </si>
  <si>
    <t>ūdens ražošana</t>
  </si>
  <si>
    <t>ūdens piegāde</t>
  </si>
  <si>
    <t>kanalizācijas attīrīšana</t>
  </si>
  <si>
    <t>EUR</t>
  </si>
  <si>
    <t>Sūknis, "Jaungravāni",Salas pag., 20A</t>
  </si>
  <si>
    <t>Sūknis "Laimiņas", Sēlpils pag., 25A</t>
  </si>
  <si>
    <t>Attīrīšanas iekārtas, Ošānu iela 15, Salas pag., 40A</t>
  </si>
  <si>
    <t>Sūknētava, Ošānu iela 15, Salas pag., 25A</t>
  </si>
  <si>
    <t>kanalizācijas savākšana</t>
  </si>
  <si>
    <t>Kanalizācijas sūknētava, Podvāzes iela 7A, Birži, 40A</t>
  </si>
  <si>
    <t>Konteinera katlu māja, Skolas iela 2A, Sala, 100A</t>
  </si>
  <si>
    <t>Sūknis, "Vecaiņi", Sēlpils, 16A</t>
  </si>
  <si>
    <t>Katlu māja Viesturu iela 13, Sala, 16A</t>
  </si>
  <si>
    <t>Katlu māja Viesturu iela 4, Sala, 16A</t>
  </si>
  <si>
    <t>Sūkņu stacija, Zaļā iela 11, Sēlpils, 25A</t>
  </si>
  <si>
    <t>Ūdens stacija, Zaļā iela 8, Sala, 160A</t>
  </si>
  <si>
    <t>Sūknis, Ābeļu iela 1, Sala, 16A</t>
  </si>
  <si>
    <t>Ūdenssūknis skolā, "Indrāni", Sēlpils 25A</t>
  </si>
  <si>
    <t>īre</t>
  </si>
  <si>
    <t>kanaliz.</t>
  </si>
  <si>
    <t>Līkumi attīrīš.iekārtas 30A</t>
  </si>
  <si>
    <t>kanalizācija</t>
  </si>
  <si>
    <t>kopā</t>
  </si>
  <si>
    <t>Nozare</t>
  </si>
  <si>
    <t>ūd.apg.</t>
  </si>
  <si>
    <t>apsaimn.</t>
  </si>
  <si>
    <t>Februāris (par janv.)</t>
  </si>
  <si>
    <t>Marts (par febr.)</t>
  </si>
  <si>
    <t>Oktobra rēķins par sept.</t>
  </si>
  <si>
    <t>Novembris par okt.</t>
  </si>
  <si>
    <t>Aprīlis (par martu)</t>
  </si>
  <si>
    <t>Maijs (par aprīli)</t>
  </si>
  <si>
    <t>Jūnijs (par maiju)</t>
  </si>
  <si>
    <t>Jūlijs (par jūniju)</t>
  </si>
  <si>
    <t>Augusts (par jūlju)</t>
  </si>
  <si>
    <t>Septembris (par aug.)</t>
  </si>
  <si>
    <t>Janvāris (par dec.)</t>
  </si>
  <si>
    <t>Decembris par nov.</t>
  </si>
  <si>
    <t>Janv.par dec.</t>
  </si>
  <si>
    <t>Elektroenerģijas izmaksas 2023.gads</t>
  </si>
  <si>
    <t>Maksa par elektroenerģijas piegādi</t>
  </si>
  <si>
    <t>Maksa par jaudas uzturēšanu (32A)</t>
  </si>
  <si>
    <t>Maksa par jaudas uzturēšanu (35A)</t>
  </si>
  <si>
    <t>Maksa par jaudas uzturēšanu (25A)</t>
  </si>
  <si>
    <t>ūd</t>
  </si>
  <si>
    <t>Plāns 2024</t>
  </si>
  <si>
    <t>Fāzu skaits</t>
  </si>
  <si>
    <t>Maksa par jaudas uzturēšanu (50A)</t>
  </si>
  <si>
    <t>Maksa par jaudas uzturēšanu (20A)</t>
  </si>
  <si>
    <t>Līkumi 4-3, Sēlpils, dzīvoklis, 20A</t>
  </si>
  <si>
    <t>Maksa par jaudas uzturēšanu (30A)</t>
  </si>
  <si>
    <t>Maksa par jaudas uzturēšanu (40A)</t>
  </si>
  <si>
    <t>Podvāzes 3-7, Birži, dzīvoklis, 25A</t>
  </si>
  <si>
    <t>Podvāzes 4, Birži, siltummezgls, 16A</t>
  </si>
  <si>
    <t>Maksa par jaudas uzturēšanu (16A)</t>
  </si>
  <si>
    <t>Maksa par jaudas uzturēšanu (100A)</t>
  </si>
  <si>
    <t>Skolas 5A, Sala, ugundz.depo, 20A</t>
  </si>
  <si>
    <t>Moduļu katlu māja, Susējas iela 18, Sala, 20A</t>
  </si>
  <si>
    <t>Moduļi katlu māja, Susējas iela 21, Sala, 20A</t>
  </si>
  <si>
    <t>Moduļu katlu māja, Susējas iela 20, Sala, 20A</t>
  </si>
  <si>
    <t>Moduļu katlu māja, Zaļā iela 1, Sala, 20A</t>
  </si>
  <si>
    <t>Moduļu katlu māja, Zaļā iela 4, Sala,20A</t>
  </si>
  <si>
    <t>Maksa par jaudas uzturēšanu (160A)</t>
  </si>
  <si>
    <t>SIA "VĪGANTS" objektu saraksts. Paredzamais elektroenerģijas patēriņš.</t>
  </si>
  <si>
    <t>500+AF9:AF61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</si>
</sst>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"/>
      <color rgb="FFFF0000"/>
      <name val="Calibri"/>
      <family val="2"/>
      <charset val="186"/>
      <scheme val="minor"/>
    </font>
    <font>
      <i/>
      <sz val="10"/>
      <name val="Calibri"/>
      <family val="2"/>
      <charset val="186"/>
      <scheme val="minor"/>
    </font>
    <font>
      <b/>
      <sz val="12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0" fillId="0" borderId="5" xfId="0" applyBorder="1"/>
    <xf numFmtId="0" fontId="0" fillId="0" borderId="6" xfId="0" applyBorder="1"/>
    <xf numFmtId="0" fontId="1" fillId="0" borderId="2" xfId="0" applyFont="1" applyBorder="1"/>
    <xf numFmtId="2" fontId="0" fillId="0" borderId="1" xfId="0" applyNumberFormat="1" applyBorder="1"/>
    <xf numFmtId="2" fontId="1" fillId="0" borderId="1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6" xfId="0" applyFont="1" applyBorder="1"/>
    <xf numFmtId="0" fontId="5" fillId="0" borderId="1" xfId="0" applyFont="1" applyBorder="1"/>
    <xf numFmtId="0" fontId="5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0" xfId="0" applyFont="1"/>
    <xf numFmtId="2" fontId="5" fillId="0" borderId="1" xfId="0" applyNumberFormat="1" applyFont="1" applyBorder="1"/>
    <xf numFmtId="0" fontId="5" fillId="0" borderId="7" xfId="0" applyFont="1" applyBorder="1"/>
    <xf numFmtId="164" fontId="5" fillId="0" borderId="7" xfId="0" applyNumberFormat="1" applyFont="1" applyBorder="1"/>
    <xf numFmtId="0" fontId="1" fillId="0" borderId="6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8" xfId="0" applyBorder="1"/>
    <xf numFmtId="0" fontId="1" fillId="0" borderId="8" xfId="0" applyFont="1" applyBorder="1"/>
    <xf numFmtId="0" fontId="8" fillId="0" borderId="0" xfId="0" applyFont="1" applyAlignment="1">
      <alignment horizontal="center" vertical="center"/>
    </xf>
    <xf numFmtId="0" fontId="9" fillId="0" borderId="6" xfId="0" applyFont="1" applyBorder="1"/>
    <xf numFmtId="0" fontId="10" fillId="0" borderId="6" xfId="0" applyFont="1" applyBorder="1"/>
    <xf numFmtId="0" fontId="9" fillId="0" borderId="1" xfId="0" applyFont="1" applyBorder="1"/>
    <xf numFmtId="0" fontId="10" fillId="0" borderId="1" xfId="0" applyFont="1" applyBorder="1"/>
    <xf numFmtId="1" fontId="9" fillId="0" borderId="1" xfId="0" applyNumberFormat="1" applyFont="1" applyBorder="1"/>
    <xf numFmtId="1" fontId="10" fillId="0" borderId="1" xfId="0" applyNumberFormat="1" applyFont="1" applyBorder="1"/>
    <xf numFmtId="2" fontId="10" fillId="0" borderId="1" xfId="0" applyNumberFormat="1" applyFont="1" applyBorder="1"/>
    <xf numFmtId="2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31" Type="http://schemas.microsoft.com/office/2017/10/relationships/person" Target="persons/person23.xml"/><Relationship Id="rId4" Type="http://schemas.openxmlformats.org/officeDocument/2006/relationships/sharedStrings" Target="sharedStrings.xml"/><Relationship Id="rId30" Type="http://schemas.microsoft.com/office/2017/10/relationships/person" Target="persons/person.xml"/><Relationship Id="rId27" Type="http://schemas.microsoft.com/office/2017/10/relationships/person" Target="persons/person22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7"/>
  <sheetViews>
    <sheetView tabSelected="1" workbookViewId="0">
      <pane xSplit="1" topLeftCell="U1" activePane="topRight" state="frozen"/>
      <selection pane="topRight" activeCell="AG100" sqref="AG100"/>
    </sheetView>
  </sheetViews>
  <sheetFormatPr defaultRowHeight="14.4" x14ac:dyDescent="0.3"/>
  <cols>
    <col min="1" max="1" width="29.88671875" customWidth="1"/>
    <col min="2" max="2" width="10.6640625" customWidth="1"/>
    <col min="3" max="3" width="8.6640625" hidden="1" customWidth="1"/>
    <col min="4" max="4" width="10.5546875" hidden="1" customWidth="1"/>
    <col min="5" max="5" width="10.109375" customWidth="1"/>
    <col min="6" max="6" width="9.5546875" customWidth="1"/>
    <col min="7" max="7" width="10.33203125" customWidth="1"/>
    <col min="9" max="9" width="10.5546875" customWidth="1"/>
    <col min="10" max="10" width="9.6640625" customWidth="1"/>
    <col min="11" max="11" width="10.33203125" customWidth="1"/>
    <col min="13" max="13" width="10" customWidth="1"/>
    <col min="15" max="15" width="10.5546875" customWidth="1"/>
    <col min="17" max="17" width="10.33203125" customWidth="1"/>
    <col min="19" max="19" width="11" customWidth="1"/>
    <col min="21" max="21" width="10.33203125" customWidth="1"/>
    <col min="22" max="22" width="9.77734375" customWidth="1"/>
    <col min="23" max="23" width="10.5546875" customWidth="1"/>
    <col min="25" max="25" width="10.44140625" customWidth="1"/>
    <col min="27" max="29" width="11" customWidth="1"/>
    <col min="30" max="30" width="9.77734375" customWidth="1"/>
    <col min="31" max="31" width="9.5546875" customWidth="1"/>
    <col min="32" max="32" width="9.88671875" customWidth="1"/>
    <col min="33" max="33" width="10" customWidth="1"/>
  </cols>
  <sheetData>
    <row r="1" spans="1:34" ht="15.6" x14ac:dyDescent="0.3">
      <c r="A1" s="14"/>
      <c r="B1" s="14"/>
    </row>
    <row r="3" spans="1:34" ht="18" x14ac:dyDescent="0.35">
      <c r="G3" s="5" t="s">
        <v>49</v>
      </c>
      <c r="H3" s="5"/>
      <c r="I3" s="5"/>
      <c r="J3" s="5"/>
    </row>
    <row r="5" spans="1:34" ht="15.6" x14ac:dyDescent="0.3">
      <c r="A5" s="14" t="s">
        <v>0</v>
      </c>
      <c r="B5" s="14"/>
    </row>
    <row r="6" spans="1:34" ht="15.6" x14ac:dyDescent="0.3">
      <c r="A6" s="31" t="s">
        <v>73</v>
      </c>
    </row>
    <row r="7" spans="1:34" x14ac:dyDescent="0.3">
      <c r="A7" s="3" t="s">
        <v>2</v>
      </c>
      <c r="B7" s="7"/>
      <c r="C7" s="7" t="s">
        <v>3</v>
      </c>
      <c r="D7" s="7" t="s">
        <v>13</v>
      </c>
      <c r="E7" s="7"/>
      <c r="F7" s="7" t="s">
        <v>3</v>
      </c>
      <c r="G7" s="7" t="s">
        <v>13</v>
      </c>
      <c r="H7" s="7" t="s">
        <v>3</v>
      </c>
      <c r="I7" s="7" t="s">
        <v>13</v>
      </c>
      <c r="J7" s="7" t="s">
        <v>3</v>
      </c>
      <c r="K7" s="7" t="s">
        <v>13</v>
      </c>
      <c r="L7" s="7" t="s">
        <v>3</v>
      </c>
      <c r="M7" s="7" t="s">
        <v>13</v>
      </c>
      <c r="N7" s="7" t="s">
        <v>3</v>
      </c>
      <c r="O7" s="7" t="s">
        <v>13</v>
      </c>
      <c r="P7" s="7" t="s">
        <v>3</v>
      </c>
      <c r="Q7" s="7" t="s">
        <v>13</v>
      </c>
      <c r="R7" s="7" t="s">
        <v>3</v>
      </c>
      <c r="S7" s="7" t="s">
        <v>13</v>
      </c>
      <c r="T7" s="7" t="s">
        <v>3</v>
      </c>
      <c r="U7" s="7" t="s">
        <v>13</v>
      </c>
      <c r="V7" s="7" t="s">
        <v>3</v>
      </c>
      <c r="W7" s="7" t="s">
        <v>13</v>
      </c>
      <c r="X7" s="7" t="s">
        <v>3</v>
      </c>
      <c r="Y7" s="7" t="s">
        <v>13</v>
      </c>
      <c r="Z7" s="7" t="s">
        <v>3</v>
      </c>
      <c r="AA7" s="7" t="s">
        <v>13</v>
      </c>
      <c r="AB7" s="3" t="s">
        <v>3</v>
      </c>
      <c r="AC7" s="3" t="s">
        <v>13</v>
      </c>
      <c r="AD7" s="7" t="s">
        <v>3</v>
      </c>
      <c r="AE7" s="7" t="s">
        <v>13</v>
      </c>
      <c r="AF7" s="7" t="s">
        <v>55</v>
      </c>
      <c r="AG7" s="3"/>
    </row>
    <row r="8" spans="1:34" x14ac:dyDescent="0.3">
      <c r="A8" s="9"/>
      <c r="B8" s="9" t="s">
        <v>33</v>
      </c>
      <c r="C8" s="9" t="s">
        <v>46</v>
      </c>
      <c r="D8" s="1"/>
      <c r="E8" s="9" t="s">
        <v>56</v>
      </c>
      <c r="F8" s="9" t="s">
        <v>36</v>
      </c>
      <c r="G8" s="12"/>
      <c r="H8" s="9" t="s">
        <v>37</v>
      </c>
      <c r="I8" s="13"/>
      <c r="J8" s="9" t="s">
        <v>40</v>
      </c>
      <c r="K8" s="13"/>
      <c r="L8" s="9" t="s">
        <v>41</v>
      </c>
      <c r="M8" s="1"/>
      <c r="N8" s="9" t="s">
        <v>42</v>
      </c>
      <c r="O8" s="2"/>
      <c r="P8" s="9" t="s">
        <v>43</v>
      </c>
      <c r="Q8" s="2"/>
      <c r="R8" s="9" t="s">
        <v>44</v>
      </c>
      <c r="S8" s="2"/>
      <c r="T8" s="9" t="s">
        <v>45</v>
      </c>
      <c r="U8" s="2"/>
      <c r="V8" s="9" t="s">
        <v>38</v>
      </c>
      <c r="W8" s="2"/>
      <c r="X8" s="9" t="s">
        <v>39</v>
      </c>
      <c r="Y8" s="2"/>
      <c r="Z8" s="9" t="s">
        <v>47</v>
      </c>
      <c r="AA8" s="2"/>
      <c r="AB8" s="30" t="s">
        <v>48</v>
      </c>
      <c r="AC8" s="29"/>
      <c r="AD8" s="8" t="s">
        <v>32</v>
      </c>
      <c r="AE8" s="8" t="s">
        <v>32</v>
      </c>
      <c r="AF8" s="8" t="s">
        <v>3</v>
      </c>
      <c r="AG8" s="3" t="s">
        <v>13</v>
      </c>
    </row>
    <row r="9" spans="1:34" ht="28.8" x14ac:dyDescent="0.3">
      <c r="A9" s="16" t="s">
        <v>4</v>
      </c>
      <c r="B9" s="27" t="s">
        <v>29</v>
      </c>
      <c r="C9" s="8">
        <v>0</v>
      </c>
      <c r="D9" s="8">
        <v>0</v>
      </c>
      <c r="E9" s="32">
        <v>3</v>
      </c>
      <c r="F9" s="8">
        <v>0</v>
      </c>
      <c r="G9" s="8">
        <v>0</v>
      </c>
      <c r="H9" s="8">
        <v>0</v>
      </c>
      <c r="I9" s="8">
        <v>0</v>
      </c>
      <c r="J9" s="8">
        <v>-7</v>
      </c>
      <c r="K9" s="8">
        <v>-0.55000000000000004</v>
      </c>
      <c r="L9" s="8">
        <v>0.75</v>
      </c>
      <c r="M9" s="8">
        <v>0.06</v>
      </c>
      <c r="N9" s="8">
        <v>0</v>
      </c>
      <c r="O9" s="8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/>
      <c r="W9" s="3">
        <v>0</v>
      </c>
      <c r="X9" s="3"/>
      <c r="Y9" s="3">
        <v>0</v>
      </c>
      <c r="Z9" s="3"/>
      <c r="AA9" s="3">
        <v>0</v>
      </c>
      <c r="AB9" s="3"/>
      <c r="AC9" s="3">
        <v>0</v>
      </c>
      <c r="AD9" s="4">
        <f>F9+H9+J9+L9+N9+P9+R9+T9+V9+X9+Z9+AB9</f>
        <v>-6.25</v>
      </c>
      <c r="AE9" s="4">
        <f>G9+I9+K9+M9+O9+Q9+S9+U9+W9+Y9+AA9+AC9</f>
        <v>-0.49000000000000005</v>
      </c>
      <c r="AF9" s="3" t="s">
        <v>74</v>
      </c>
      <c r="AG9" s="3">
        <v>35</v>
      </c>
      <c r="AH9" t="s">
        <v>12</v>
      </c>
    </row>
    <row r="10" spans="1:34" s="20" customFormat="1" ht="16.5" customHeight="1" x14ac:dyDescent="0.3">
      <c r="A10" s="17" t="s">
        <v>50</v>
      </c>
      <c r="B10" s="28"/>
      <c r="C10" s="18"/>
      <c r="D10" s="18"/>
      <c r="E10" s="33"/>
      <c r="F10" s="18"/>
      <c r="G10" s="18">
        <v>0</v>
      </c>
      <c r="H10" s="18"/>
      <c r="I10" s="18">
        <f>21.15-21.15</f>
        <v>0</v>
      </c>
      <c r="J10" s="18"/>
      <c r="K10" s="18">
        <f>21.15-21.15</f>
        <v>0</v>
      </c>
      <c r="L10" s="18"/>
      <c r="M10" s="18">
        <f>21.15-21.15</f>
        <v>0</v>
      </c>
      <c r="N10" s="18"/>
      <c r="O10" s="18">
        <v>21.15</v>
      </c>
      <c r="P10" s="19"/>
      <c r="Q10" s="19">
        <v>21.15</v>
      </c>
      <c r="R10" s="19"/>
      <c r="S10" s="19">
        <v>0</v>
      </c>
      <c r="T10" s="19"/>
      <c r="U10" s="19">
        <v>0</v>
      </c>
      <c r="V10" s="19"/>
      <c r="W10" s="19">
        <v>0</v>
      </c>
      <c r="X10" s="19"/>
      <c r="Y10" s="19">
        <v>0</v>
      </c>
      <c r="Z10" s="19"/>
      <c r="AA10" s="19">
        <v>0</v>
      </c>
      <c r="AB10" s="19"/>
      <c r="AC10" s="19">
        <v>0</v>
      </c>
      <c r="AD10" s="4">
        <f t="shared" ref="AD10:AD79" si="0">F10+H10+J10+L10+N10+P10+R10+T10+V10+X10+Z10+AB10</f>
        <v>0</v>
      </c>
      <c r="AE10" s="4">
        <f t="shared" ref="AE10:AE79" si="1">G10+I10+K10+M10+O10+Q10+S10+U10+W10+Y10+AA10+AC10</f>
        <v>42.3</v>
      </c>
      <c r="AF10" s="3"/>
      <c r="AG10" s="3">
        <v>42</v>
      </c>
    </row>
    <row r="11" spans="1:34" s="20" customFormat="1" ht="16.5" customHeight="1" x14ac:dyDescent="0.3">
      <c r="A11" s="17" t="s">
        <v>52</v>
      </c>
      <c r="B11" s="28"/>
      <c r="C11" s="18"/>
      <c r="D11" s="18"/>
      <c r="E11" s="33"/>
      <c r="F11" s="18"/>
      <c r="G11" s="18">
        <v>0</v>
      </c>
      <c r="H11" s="18"/>
      <c r="I11" s="18">
        <v>0</v>
      </c>
      <c r="J11" s="18"/>
      <c r="K11" s="18">
        <f>0.24-0.24</f>
        <v>0</v>
      </c>
      <c r="L11" s="18"/>
      <c r="M11" s="18">
        <f>0.03-0.03</f>
        <v>0</v>
      </c>
      <c r="N11" s="18"/>
      <c r="O11" s="18">
        <v>0</v>
      </c>
      <c r="P11" s="19"/>
      <c r="Q11" s="19">
        <v>0</v>
      </c>
      <c r="R11" s="19"/>
      <c r="S11" s="19">
        <v>32.200000000000003</v>
      </c>
      <c r="T11" s="19"/>
      <c r="U11" s="19">
        <v>32.200000000000003</v>
      </c>
      <c r="V11" s="19"/>
      <c r="W11" s="19">
        <v>32.200000000000003</v>
      </c>
      <c r="X11" s="19"/>
      <c r="Y11" s="19">
        <v>32.200000000000003</v>
      </c>
      <c r="Z11" s="19"/>
      <c r="AA11" s="19">
        <v>32.200000000000003</v>
      </c>
      <c r="AB11" s="19"/>
      <c r="AC11" s="19">
        <v>32.200000000000003</v>
      </c>
      <c r="AD11" s="4">
        <f t="shared" si="0"/>
        <v>0</v>
      </c>
      <c r="AE11" s="4">
        <f t="shared" si="1"/>
        <v>193.2</v>
      </c>
      <c r="AF11" s="3"/>
      <c r="AG11" s="3">
        <v>386</v>
      </c>
    </row>
    <row r="12" spans="1:34" ht="33" customHeight="1" x14ac:dyDescent="0.3">
      <c r="A12" s="16" t="s">
        <v>5</v>
      </c>
      <c r="B12" s="16" t="s">
        <v>29</v>
      </c>
      <c r="C12" s="3"/>
      <c r="D12" s="3"/>
      <c r="E12" s="34">
        <v>3</v>
      </c>
      <c r="F12" s="3">
        <v>628.70000000000005</v>
      </c>
      <c r="G12" s="3">
        <v>49.01</v>
      </c>
      <c r="H12" s="3">
        <v>554.61</v>
      </c>
      <c r="I12" s="3">
        <v>43.23</v>
      </c>
      <c r="J12" s="3">
        <v>563.04999999999995</v>
      </c>
      <c r="K12" s="3">
        <v>43.89</v>
      </c>
      <c r="L12" s="3">
        <v>184.25</v>
      </c>
      <c r="M12" s="3">
        <v>14.36</v>
      </c>
      <c r="N12" s="3">
        <v>105.17</v>
      </c>
      <c r="O12" s="3">
        <v>8.1999999999999993</v>
      </c>
      <c r="P12" s="3">
        <v>95.99</v>
      </c>
      <c r="Q12" s="3">
        <v>7.48</v>
      </c>
      <c r="R12" s="3">
        <v>123.12</v>
      </c>
      <c r="S12" s="3">
        <v>9.6</v>
      </c>
      <c r="T12" s="3">
        <v>139.30000000000001</v>
      </c>
      <c r="U12" s="3">
        <v>10.86</v>
      </c>
      <c r="V12" s="3">
        <v>99.47</v>
      </c>
      <c r="W12" s="3">
        <v>7.75</v>
      </c>
      <c r="X12" s="3">
        <v>122.38</v>
      </c>
      <c r="Y12" s="3">
        <v>9.5399999999999991</v>
      </c>
      <c r="Z12" s="3">
        <v>429.81</v>
      </c>
      <c r="AA12" s="3">
        <v>33.5</v>
      </c>
      <c r="AB12" s="3">
        <v>777.84</v>
      </c>
      <c r="AC12" s="3">
        <v>60.63</v>
      </c>
      <c r="AD12" s="4">
        <f t="shared" si="0"/>
        <v>3823.69</v>
      </c>
      <c r="AE12" s="4">
        <f t="shared" si="1"/>
        <v>298.05</v>
      </c>
      <c r="AF12" s="3">
        <v>3823</v>
      </c>
      <c r="AG12" s="3">
        <v>298</v>
      </c>
      <c r="AH12" t="s">
        <v>12</v>
      </c>
    </row>
    <row r="13" spans="1:34" s="20" customFormat="1" ht="14.25" customHeight="1" x14ac:dyDescent="0.3">
      <c r="A13" s="17" t="s">
        <v>50</v>
      </c>
      <c r="B13" s="17"/>
      <c r="C13" s="19"/>
      <c r="D13" s="19"/>
      <c r="E13" s="35"/>
      <c r="F13" s="19"/>
      <c r="G13" s="19">
        <v>0</v>
      </c>
      <c r="H13" s="19"/>
      <c r="I13" s="19">
        <f>28.05-28.05</f>
        <v>0</v>
      </c>
      <c r="J13" s="19"/>
      <c r="K13" s="19">
        <f>28.05-28.05</f>
        <v>0</v>
      </c>
      <c r="L13" s="19"/>
      <c r="M13" s="19">
        <f>28.05-28.05</f>
        <v>0</v>
      </c>
      <c r="N13" s="19"/>
      <c r="O13" s="19">
        <v>28.05</v>
      </c>
      <c r="P13" s="19"/>
      <c r="Q13" s="19">
        <v>28.05</v>
      </c>
      <c r="R13" s="19"/>
      <c r="S13" s="19">
        <v>29.44</v>
      </c>
      <c r="T13" s="19"/>
      <c r="U13" s="19">
        <v>5.55</v>
      </c>
      <c r="V13" s="19"/>
      <c r="W13" s="19">
        <v>3.96</v>
      </c>
      <c r="X13" s="19"/>
      <c r="Y13" s="19">
        <v>4.88</v>
      </c>
      <c r="Z13" s="19"/>
      <c r="AA13" s="19">
        <v>17.13</v>
      </c>
      <c r="AB13" s="19"/>
      <c r="AC13" s="19">
        <v>31</v>
      </c>
      <c r="AD13" s="4">
        <f t="shared" si="0"/>
        <v>0</v>
      </c>
      <c r="AE13" s="4">
        <f t="shared" si="1"/>
        <v>148.06</v>
      </c>
      <c r="AF13" s="3"/>
      <c r="AG13" s="3">
        <v>372</v>
      </c>
    </row>
    <row r="14" spans="1:34" s="20" customFormat="1" ht="16.5" customHeight="1" x14ac:dyDescent="0.3">
      <c r="A14" s="17" t="s">
        <v>51</v>
      </c>
      <c r="B14" s="17"/>
      <c r="C14" s="19"/>
      <c r="D14" s="19"/>
      <c r="E14" s="35"/>
      <c r="F14" s="19"/>
      <c r="G14" s="19">
        <v>0</v>
      </c>
      <c r="H14" s="19"/>
      <c r="I14" s="19">
        <f>24.52-24.52</f>
        <v>0</v>
      </c>
      <c r="J14" s="19"/>
      <c r="K14" s="19">
        <f>24.9-24.9</f>
        <v>0</v>
      </c>
      <c r="L14" s="19"/>
      <c r="M14" s="19">
        <f>8.15-8.15</f>
        <v>0</v>
      </c>
      <c r="N14" s="19"/>
      <c r="O14" s="19">
        <v>4.6500000000000004</v>
      </c>
      <c r="P14" s="19"/>
      <c r="Q14" s="19">
        <v>4.24</v>
      </c>
      <c r="R14" s="19"/>
      <c r="S14" s="19">
        <v>4.91</v>
      </c>
      <c r="T14" s="19"/>
      <c r="U14" s="19">
        <v>29.44</v>
      </c>
      <c r="V14" s="19"/>
      <c r="W14" s="19">
        <v>29.44</v>
      </c>
      <c r="X14" s="19"/>
      <c r="Y14" s="19">
        <v>29.44</v>
      </c>
      <c r="Z14" s="19"/>
      <c r="AA14" s="19">
        <v>29.44</v>
      </c>
      <c r="AB14" s="19"/>
      <c r="AC14" s="19">
        <v>29.44</v>
      </c>
      <c r="AD14" s="4">
        <f t="shared" si="0"/>
        <v>0</v>
      </c>
      <c r="AE14" s="4">
        <f t="shared" si="1"/>
        <v>161</v>
      </c>
      <c r="AF14" s="3"/>
      <c r="AG14" s="3">
        <v>161</v>
      </c>
    </row>
    <row r="15" spans="1:34" ht="28.8" x14ac:dyDescent="0.3">
      <c r="A15" s="16" t="s">
        <v>6</v>
      </c>
      <c r="B15" s="16" t="s">
        <v>34</v>
      </c>
      <c r="C15" s="3"/>
      <c r="D15" s="3"/>
      <c r="E15" s="34">
        <v>3</v>
      </c>
      <c r="F15" s="3">
        <v>1098.47</v>
      </c>
      <c r="G15" s="3">
        <v>85.63</v>
      </c>
      <c r="H15" s="3">
        <v>1369.09</v>
      </c>
      <c r="I15" s="3">
        <v>106.72</v>
      </c>
      <c r="J15" s="3">
        <v>1250.58</v>
      </c>
      <c r="K15" s="3">
        <v>97.48</v>
      </c>
      <c r="L15" s="3">
        <v>455.68</v>
      </c>
      <c r="M15" s="3">
        <v>35.520000000000003</v>
      </c>
      <c r="N15" s="3">
        <v>481.08</v>
      </c>
      <c r="O15" s="3">
        <v>37.5</v>
      </c>
      <c r="P15" s="3">
        <v>465.04</v>
      </c>
      <c r="Q15" s="3">
        <v>36.25</v>
      </c>
      <c r="R15" s="3">
        <v>424.75</v>
      </c>
      <c r="S15" s="3">
        <v>33.11</v>
      </c>
      <c r="T15" s="3">
        <v>474.95</v>
      </c>
      <c r="U15" s="3">
        <v>37.020000000000003</v>
      </c>
      <c r="V15" s="3">
        <v>438.64</v>
      </c>
      <c r="W15" s="3">
        <v>34.19</v>
      </c>
      <c r="X15" s="3">
        <v>460.01</v>
      </c>
      <c r="Y15" s="3">
        <v>35.86</v>
      </c>
      <c r="Z15" s="3">
        <v>712.78</v>
      </c>
      <c r="AA15" s="3">
        <v>55.56</v>
      </c>
      <c r="AB15" s="3">
        <v>1444.98</v>
      </c>
      <c r="AC15" s="3">
        <v>112.64</v>
      </c>
      <c r="AD15" s="4">
        <f t="shared" si="0"/>
        <v>9076.0499999999993</v>
      </c>
      <c r="AE15" s="4">
        <f t="shared" si="1"/>
        <v>707.4799999999999</v>
      </c>
      <c r="AF15" s="3">
        <v>9050</v>
      </c>
      <c r="AG15" s="3">
        <v>634</v>
      </c>
      <c r="AH15" t="s">
        <v>10</v>
      </c>
    </row>
    <row r="16" spans="1:34" s="20" customFormat="1" x14ac:dyDescent="0.3">
      <c r="A16" s="17" t="s">
        <v>50</v>
      </c>
      <c r="B16" s="17"/>
      <c r="C16" s="19"/>
      <c r="D16" s="19"/>
      <c r="E16" s="35"/>
      <c r="F16" s="19"/>
      <c r="G16" s="19">
        <v>0</v>
      </c>
      <c r="H16" s="19"/>
      <c r="I16" s="19">
        <f>21.92-21.92</f>
        <v>0</v>
      </c>
      <c r="J16" s="19"/>
      <c r="K16" s="19">
        <f>21.92-21.92</f>
        <v>0</v>
      </c>
      <c r="L16" s="19"/>
      <c r="M16" s="19">
        <f>21.92-21.92</f>
        <v>0</v>
      </c>
      <c r="N16" s="19"/>
      <c r="O16" s="19">
        <v>21.92</v>
      </c>
      <c r="P16" s="19"/>
      <c r="Q16" s="19">
        <v>21.92</v>
      </c>
      <c r="R16" s="19"/>
      <c r="S16" s="19">
        <v>16.93</v>
      </c>
      <c r="T16" s="19"/>
      <c r="U16" s="19">
        <v>18.93</v>
      </c>
      <c r="V16" s="19"/>
      <c r="W16" s="19">
        <v>17.48</v>
      </c>
      <c r="X16" s="19"/>
      <c r="Y16" s="19">
        <v>18.329999999999998</v>
      </c>
      <c r="Z16" s="19"/>
      <c r="AA16" s="19">
        <v>28.4</v>
      </c>
      <c r="AB16" s="19"/>
      <c r="AC16" s="19">
        <v>57.58</v>
      </c>
      <c r="AD16" s="4">
        <f t="shared" si="0"/>
        <v>0</v>
      </c>
      <c r="AE16" s="4">
        <f t="shared" si="1"/>
        <v>201.49</v>
      </c>
      <c r="AF16" s="3"/>
      <c r="AG16" s="3">
        <v>201</v>
      </c>
    </row>
    <row r="17" spans="1:34" s="20" customFormat="1" x14ac:dyDescent="0.3">
      <c r="A17" s="17" t="s">
        <v>53</v>
      </c>
      <c r="B17" s="17"/>
      <c r="C17" s="19"/>
      <c r="D17" s="19"/>
      <c r="E17" s="35"/>
      <c r="F17" s="19"/>
      <c r="G17" s="19">
        <v>0</v>
      </c>
      <c r="H17" s="19"/>
      <c r="I17" s="19">
        <f>60.54-60.54</f>
        <v>0</v>
      </c>
      <c r="J17" s="19"/>
      <c r="K17" s="19">
        <f>55.3-55.3</f>
        <v>0</v>
      </c>
      <c r="L17" s="19"/>
      <c r="M17" s="19">
        <f>20.15-20.15</f>
        <v>0</v>
      </c>
      <c r="N17" s="19"/>
      <c r="O17" s="19">
        <v>21.27</v>
      </c>
      <c r="P17" s="19"/>
      <c r="Q17" s="19">
        <v>20.56</v>
      </c>
      <c r="R17" s="19"/>
      <c r="S17" s="19">
        <v>23</v>
      </c>
      <c r="T17" s="19"/>
      <c r="U17" s="19">
        <v>23</v>
      </c>
      <c r="V17" s="19"/>
      <c r="W17" s="19">
        <v>23</v>
      </c>
      <c r="X17" s="19"/>
      <c r="Y17" s="19">
        <v>23</v>
      </c>
      <c r="Z17" s="19"/>
      <c r="AA17" s="19">
        <v>23</v>
      </c>
      <c r="AB17" s="19"/>
      <c r="AC17" s="19">
        <v>23</v>
      </c>
      <c r="AD17" s="4">
        <f t="shared" si="0"/>
        <v>0</v>
      </c>
      <c r="AE17" s="4">
        <f t="shared" si="1"/>
        <v>179.82999999999998</v>
      </c>
      <c r="AF17" s="3"/>
      <c r="AG17" s="3">
        <v>180</v>
      </c>
    </row>
    <row r="18" spans="1:34" ht="31.5" customHeight="1" x14ac:dyDescent="0.3">
      <c r="A18" s="16" t="s">
        <v>7</v>
      </c>
      <c r="B18" s="16" t="s">
        <v>29</v>
      </c>
      <c r="C18" s="3"/>
      <c r="D18" s="3"/>
      <c r="E18" s="34">
        <v>3</v>
      </c>
      <c r="F18" s="3">
        <v>770.39</v>
      </c>
      <c r="G18" s="3">
        <v>60.05</v>
      </c>
      <c r="H18" s="3">
        <v>701.07</v>
      </c>
      <c r="I18" s="3">
        <v>54.65</v>
      </c>
      <c r="J18" s="3">
        <v>532.79999999999995</v>
      </c>
      <c r="K18" s="3">
        <v>41.53</v>
      </c>
      <c r="L18" s="3">
        <v>96.76</v>
      </c>
      <c r="M18" s="3">
        <v>7.54</v>
      </c>
      <c r="N18" s="3">
        <v>90.07</v>
      </c>
      <c r="O18" s="3">
        <v>7.02</v>
      </c>
      <c r="P18" s="3">
        <v>88.44</v>
      </c>
      <c r="Q18" s="3">
        <v>6.89</v>
      </c>
      <c r="R18" s="3">
        <v>85.79</v>
      </c>
      <c r="S18" s="3">
        <v>6.69</v>
      </c>
      <c r="T18" s="3">
        <v>2102.41</v>
      </c>
      <c r="U18" s="3">
        <v>163.88</v>
      </c>
      <c r="V18" s="3">
        <v>1627.21</v>
      </c>
      <c r="W18" s="3">
        <v>126.84</v>
      </c>
      <c r="X18" s="3">
        <v>95.46</v>
      </c>
      <c r="Y18" s="3">
        <v>7.44</v>
      </c>
      <c r="Z18" s="3">
        <v>1977.31</v>
      </c>
      <c r="AA18" s="3">
        <v>154.13</v>
      </c>
      <c r="AB18" s="3">
        <v>4497.3500000000004</v>
      </c>
      <c r="AC18" s="3">
        <v>350.57</v>
      </c>
      <c r="AD18" s="4">
        <f t="shared" si="0"/>
        <v>12665.06</v>
      </c>
      <c r="AE18" s="4">
        <f t="shared" si="1"/>
        <v>987.23</v>
      </c>
      <c r="AF18" s="3">
        <v>12700</v>
      </c>
      <c r="AG18" s="3">
        <v>989</v>
      </c>
      <c r="AH18" t="s">
        <v>12</v>
      </c>
    </row>
    <row r="19" spans="1:34" s="20" customFormat="1" ht="15.75" customHeight="1" x14ac:dyDescent="0.3">
      <c r="A19" s="17" t="s">
        <v>50</v>
      </c>
      <c r="B19" s="17"/>
      <c r="C19" s="19"/>
      <c r="D19" s="19"/>
      <c r="E19" s="35"/>
      <c r="F19" s="19"/>
      <c r="G19" s="19">
        <v>0</v>
      </c>
      <c r="H19" s="19"/>
      <c r="I19" s="19">
        <f>43.83-43.83</f>
        <v>0</v>
      </c>
      <c r="J19" s="19"/>
      <c r="K19" s="19">
        <f>43.83-43.83</f>
        <v>0</v>
      </c>
      <c r="L19" s="19"/>
      <c r="M19" s="19">
        <f>43.83-43.83</f>
        <v>0</v>
      </c>
      <c r="N19" s="19"/>
      <c r="O19" s="19">
        <v>43.83</v>
      </c>
      <c r="P19" s="19"/>
      <c r="Q19" s="19">
        <v>43.83</v>
      </c>
      <c r="R19" s="19"/>
      <c r="S19" s="19">
        <v>3.42</v>
      </c>
      <c r="T19" s="19"/>
      <c r="U19" s="19">
        <v>83.78</v>
      </c>
      <c r="V19" s="19"/>
      <c r="W19" s="19">
        <v>64.84</v>
      </c>
      <c r="X19" s="19"/>
      <c r="Y19" s="19">
        <v>3.8</v>
      </c>
      <c r="Z19" s="19"/>
      <c r="AA19" s="19">
        <v>78.8</v>
      </c>
      <c r="AB19" s="19"/>
      <c r="AC19" s="19">
        <v>179.22</v>
      </c>
      <c r="AD19" s="4">
        <f t="shared" si="0"/>
        <v>0</v>
      </c>
      <c r="AE19" s="4">
        <f t="shared" si="1"/>
        <v>501.52</v>
      </c>
      <c r="AF19" s="3"/>
      <c r="AG19" s="3">
        <v>502</v>
      </c>
    </row>
    <row r="20" spans="1:34" s="20" customFormat="1" ht="15" customHeight="1" x14ac:dyDescent="0.3">
      <c r="A20" s="17" t="s">
        <v>57</v>
      </c>
      <c r="B20" s="17"/>
      <c r="C20" s="19"/>
      <c r="D20" s="19"/>
      <c r="E20" s="35"/>
      <c r="F20" s="19"/>
      <c r="G20" s="19">
        <v>0</v>
      </c>
      <c r="H20" s="19"/>
      <c r="I20" s="19">
        <f>31-31</f>
        <v>0</v>
      </c>
      <c r="J20" s="19"/>
      <c r="K20" s="19">
        <f>23.56-23.56</f>
        <v>0</v>
      </c>
      <c r="L20" s="19"/>
      <c r="M20" s="19">
        <f>4.28-4.28</f>
        <v>0</v>
      </c>
      <c r="N20" s="19"/>
      <c r="O20" s="19">
        <v>3.98</v>
      </c>
      <c r="P20" s="19"/>
      <c r="Q20" s="19">
        <v>3.91</v>
      </c>
      <c r="R20" s="19"/>
      <c r="S20" s="19">
        <v>46</v>
      </c>
      <c r="T20" s="19"/>
      <c r="U20" s="19">
        <v>46</v>
      </c>
      <c r="V20" s="19"/>
      <c r="W20" s="19">
        <v>46</v>
      </c>
      <c r="X20" s="19"/>
      <c r="Y20" s="19">
        <v>46</v>
      </c>
      <c r="Z20" s="19"/>
      <c r="AA20" s="19">
        <v>46</v>
      </c>
      <c r="AB20" s="19"/>
      <c r="AC20" s="19">
        <v>46</v>
      </c>
      <c r="AD20" s="4">
        <f t="shared" si="0"/>
        <v>0</v>
      </c>
      <c r="AE20" s="4">
        <f t="shared" si="1"/>
        <v>283.89</v>
      </c>
      <c r="AF20" s="3"/>
      <c r="AG20" s="3">
        <v>552</v>
      </c>
    </row>
    <row r="21" spans="1:34" ht="32.25" customHeight="1" x14ac:dyDescent="0.3">
      <c r="A21" s="16" t="s">
        <v>8</v>
      </c>
      <c r="B21" s="16" t="s">
        <v>29</v>
      </c>
      <c r="C21" s="3"/>
      <c r="D21" s="3"/>
      <c r="E21" s="34">
        <v>3</v>
      </c>
      <c r="F21" s="3">
        <v>3269.25</v>
      </c>
      <c r="G21" s="3">
        <v>254.84</v>
      </c>
      <c r="H21" s="3">
        <v>1691.1</v>
      </c>
      <c r="I21" s="3">
        <v>131.82</v>
      </c>
      <c r="J21" s="3">
        <v>2491.71</v>
      </c>
      <c r="K21" s="3">
        <v>194.23</v>
      </c>
      <c r="L21" s="3">
        <v>3104.8</v>
      </c>
      <c r="M21" s="3">
        <v>242.02</v>
      </c>
      <c r="N21" s="3">
        <v>1053.8900000000001</v>
      </c>
      <c r="O21" s="3">
        <v>82.15</v>
      </c>
      <c r="P21" s="3">
        <v>686.33</v>
      </c>
      <c r="Q21" s="3">
        <v>53.5</v>
      </c>
      <c r="R21" s="3">
        <v>634.53</v>
      </c>
      <c r="S21" s="3">
        <v>49.46</v>
      </c>
      <c r="T21" s="3">
        <v>656.63</v>
      </c>
      <c r="U21" s="3">
        <v>51.18</v>
      </c>
      <c r="V21" s="3">
        <v>536.54</v>
      </c>
      <c r="W21" s="3">
        <v>41.82</v>
      </c>
      <c r="X21" s="3">
        <v>1336.57</v>
      </c>
      <c r="Y21" s="3">
        <v>104.19</v>
      </c>
      <c r="Z21" s="3">
        <v>1475.01</v>
      </c>
      <c r="AA21" s="3">
        <v>114.98</v>
      </c>
      <c r="AB21" s="3">
        <v>1941.38</v>
      </c>
      <c r="AC21" s="3">
        <v>151.33000000000001</v>
      </c>
      <c r="AD21" s="4">
        <f t="shared" si="0"/>
        <v>18877.739999999998</v>
      </c>
      <c r="AE21" s="4">
        <f t="shared" si="1"/>
        <v>1471.52</v>
      </c>
      <c r="AF21" s="3">
        <v>18900</v>
      </c>
      <c r="AG21" s="3">
        <v>1472</v>
      </c>
      <c r="AH21" t="s">
        <v>12</v>
      </c>
    </row>
    <row r="22" spans="1:34" s="20" customFormat="1" ht="15" customHeight="1" x14ac:dyDescent="0.3">
      <c r="A22" s="17" t="s">
        <v>50</v>
      </c>
      <c r="B22" s="17"/>
      <c r="C22" s="19"/>
      <c r="D22" s="19"/>
      <c r="E22" s="35"/>
      <c r="F22" s="19"/>
      <c r="G22" s="19">
        <v>0</v>
      </c>
      <c r="H22" s="19"/>
      <c r="I22" s="19">
        <f>15.1-15.1</f>
        <v>0</v>
      </c>
      <c r="J22" s="19"/>
      <c r="K22" s="19">
        <f>15.1-15.1</f>
        <v>0</v>
      </c>
      <c r="L22" s="19"/>
      <c r="M22" s="19">
        <f>15.1-15.1</f>
        <v>0</v>
      </c>
      <c r="N22" s="19"/>
      <c r="O22" s="19">
        <v>15.1</v>
      </c>
      <c r="P22" s="19"/>
      <c r="Q22" s="19">
        <v>15.1</v>
      </c>
      <c r="R22" s="19"/>
      <c r="S22" s="19">
        <v>16.510000000000002</v>
      </c>
      <c r="T22" s="19"/>
      <c r="U22" s="19">
        <v>17.09</v>
      </c>
      <c r="V22" s="19"/>
      <c r="W22" s="19">
        <v>13.96</v>
      </c>
      <c r="X22" s="19"/>
      <c r="Y22" s="19">
        <v>34.78</v>
      </c>
      <c r="Z22" s="19"/>
      <c r="AA22" s="19">
        <v>38.380000000000003</v>
      </c>
      <c r="AB22" s="19"/>
      <c r="AC22" s="19">
        <v>50.51</v>
      </c>
      <c r="AD22" s="4">
        <f t="shared" si="0"/>
        <v>0</v>
      </c>
      <c r="AE22" s="4">
        <f t="shared" si="1"/>
        <v>201.42999999999998</v>
      </c>
      <c r="AF22" s="3"/>
      <c r="AG22" s="3">
        <v>461</v>
      </c>
    </row>
    <row r="23" spans="1:34" s="20" customFormat="1" ht="14.25" customHeight="1" x14ac:dyDescent="0.3">
      <c r="A23" s="17" t="s">
        <v>53</v>
      </c>
      <c r="B23" s="17"/>
      <c r="C23" s="19"/>
      <c r="D23" s="19"/>
      <c r="E23" s="35"/>
      <c r="F23" s="19"/>
      <c r="G23" s="19">
        <v>0</v>
      </c>
      <c r="H23" s="19"/>
      <c r="I23" s="19">
        <f>58.61-58.61</f>
        <v>0</v>
      </c>
      <c r="J23" s="19"/>
      <c r="K23" s="19">
        <f>86.36-86.36</f>
        <v>0</v>
      </c>
      <c r="L23" s="19"/>
      <c r="M23" s="19">
        <f>107.61-107.61</f>
        <v>0</v>
      </c>
      <c r="N23" s="19"/>
      <c r="O23" s="19">
        <v>36.53</v>
      </c>
      <c r="P23" s="19"/>
      <c r="Q23" s="19">
        <v>23.79</v>
      </c>
      <c r="R23" s="19"/>
      <c r="S23" s="19">
        <v>23</v>
      </c>
      <c r="T23" s="19"/>
      <c r="U23" s="19">
        <v>23</v>
      </c>
      <c r="V23" s="19"/>
      <c r="W23" s="19">
        <v>23</v>
      </c>
      <c r="X23" s="19"/>
      <c r="Y23" s="19">
        <v>23</v>
      </c>
      <c r="Z23" s="19"/>
      <c r="AA23" s="19">
        <v>23</v>
      </c>
      <c r="AB23" s="19"/>
      <c r="AC23" s="19">
        <v>23</v>
      </c>
      <c r="AD23" s="4">
        <f t="shared" si="0"/>
        <v>0</v>
      </c>
      <c r="AE23" s="4">
        <f t="shared" si="1"/>
        <v>198.32</v>
      </c>
      <c r="AF23" s="3"/>
      <c r="AG23" s="3">
        <v>338</v>
      </c>
    </row>
    <row r="24" spans="1:34" ht="36" customHeight="1" x14ac:dyDescent="0.3">
      <c r="A24" s="16" t="s">
        <v>27</v>
      </c>
      <c r="B24" s="16" t="s">
        <v>34</v>
      </c>
      <c r="C24" s="6"/>
      <c r="D24" s="6"/>
      <c r="E24" s="34">
        <v>3</v>
      </c>
      <c r="F24" s="6">
        <v>850.74</v>
      </c>
      <c r="G24" s="6">
        <v>66.319999999999993</v>
      </c>
      <c r="H24" s="3">
        <v>799.96</v>
      </c>
      <c r="I24" s="3">
        <v>62.36</v>
      </c>
      <c r="J24" s="3">
        <v>684.42</v>
      </c>
      <c r="K24" s="3">
        <v>53.35</v>
      </c>
      <c r="L24" s="3">
        <v>290.83</v>
      </c>
      <c r="M24" s="3">
        <v>22.67</v>
      </c>
      <c r="N24" s="3">
        <v>125.9</v>
      </c>
      <c r="O24" s="3">
        <v>9.81</v>
      </c>
      <c r="P24" s="3">
        <v>25.75</v>
      </c>
      <c r="Q24" s="3">
        <v>2.0099999999999998</v>
      </c>
      <c r="R24" s="3">
        <v>13.11</v>
      </c>
      <c r="S24" s="3">
        <v>1.02</v>
      </c>
      <c r="T24" s="3">
        <v>15.3</v>
      </c>
      <c r="U24" s="3">
        <v>1.19</v>
      </c>
      <c r="V24" s="3">
        <v>16.05</v>
      </c>
      <c r="W24" s="3">
        <v>1.25</v>
      </c>
      <c r="X24" s="3">
        <v>314.8</v>
      </c>
      <c r="Y24" s="3">
        <v>24.54</v>
      </c>
      <c r="Z24" s="3">
        <v>600.76</v>
      </c>
      <c r="AA24" s="3">
        <v>46.83</v>
      </c>
      <c r="AB24" s="3">
        <v>820.19</v>
      </c>
      <c r="AC24" s="3">
        <v>63.93</v>
      </c>
      <c r="AD24" s="4">
        <f t="shared" si="0"/>
        <v>4557.8100000000013</v>
      </c>
      <c r="AE24" s="4">
        <f t="shared" si="1"/>
        <v>355.28</v>
      </c>
      <c r="AF24" s="3">
        <v>4600</v>
      </c>
      <c r="AG24" s="3">
        <v>359</v>
      </c>
      <c r="AH24" s="15" t="s">
        <v>11</v>
      </c>
    </row>
    <row r="25" spans="1:34" s="20" customFormat="1" ht="15.75" customHeight="1" x14ac:dyDescent="0.3">
      <c r="A25" s="17" t="s">
        <v>50</v>
      </c>
      <c r="B25" s="17"/>
      <c r="C25" s="21"/>
      <c r="D25" s="22"/>
      <c r="E25" s="35"/>
      <c r="F25" s="22"/>
      <c r="G25" s="22">
        <v>0</v>
      </c>
      <c r="H25" s="19"/>
      <c r="I25" s="19">
        <f>21.92-21.92</f>
        <v>0</v>
      </c>
      <c r="J25" s="19"/>
      <c r="K25" s="19">
        <f>21.92-21.92</f>
        <v>0</v>
      </c>
      <c r="L25" s="19"/>
      <c r="M25" s="19">
        <f>21.92-21.92</f>
        <v>0</v>
      </c>
      <c r="N25" s="19"/>
      <c r="O25" s="19">
        <v>21.92</v>
      </c>
      <c r="P25" s="19"/>
      <c r="Q25" s="19">
        <v>21.92</v>
      </c>
      <c r="R25" s="19"/>
      <c r="S25" s="19">
        <v>0.52</v>
      </c>
      <c r="T25" s="19"/>
      <c r="U25" s="19">
        <v>0.61</v>
      </c>
      <c r="V25" s="19"/>
      <c r="W25" s="19">
        <v>0.64</v>
      </c>
      <c r="X25" s="19"/>
      <c r="Y25" s="19">
        <v>12.54</v>
      </c>
      <c r="Z25" s="19"/>
      <c r="AA25" s="19">
        <v>23.94</v>
      </c>
      <c r="AB25" s="19"/>
      <c r="AC25" s="19">
        <v>32.68</v>
      </c>
      <c r="AD25" s="4">
        <f t="shared" si="0"/>
        <v>0</v>
      </c>
      <c r="AE25" s="4">
        <f t="shared" si="1"/>
        <v>114.77000000000001</v>
      </c>
      <c r="AF25" s="3"/>
      <c r="AG25" s="3">
        <v>115</v>
      </c>
      <c r="AH25" s="23"/>
    </row>
    <row r="26" spans="1:34" s="20" customFormat="1" ht="18" customHeight="1" x14ac:dyDescent="0.3">
      <c r="A26" s="17" t="s">
        <v>53</v>
      </c>
      <c r="B26" s="17"/>
      <c r="C26" s="21"/>
      <c r="D26" s="22"/>
      <c r="E26" s="35"/>
      <c r="F26" s="22"/>
      <c r="G26" s="22">
        <v>0</v>
      </c>
      <c r="H26" s="19"/>
      <c r="I26" s="19">
        <f>35.37-35.37</f>
        <v>0</v>
      </c>
      <c r="J26" s="19"/>
      <c r="K26" s="19">
        <f>30.27-30.27</f>
        <v>0</v>
      </c>
      <c r="L26" s="19"/>
      <c r="M26" s="19">
        <f>12.86-12.86</f>
        <v>0</v>
      </c>
      <c r="N26" s="19"/>
      <c r="O26" s="19">
        <v>5.57</v>
      </c>
      <c r="P26" s="19"/>
      <c r="Q26" s="19">
        <v>1.1399999999999999</v>
      </c>
      <c r="R26" s="19"/>
      <c r="S26" s="19">
        <v>23</v>
      </c>
      <c r="T26" s="19"/>
      <c r="U26" s="19">
        <v>23</v>
      </c>
      <c r="V26" s="19"/>
      <c r="W26" s="19">
        <v>23</v>
      </c>
      <c r="X26" s="19"/>
      <c r="Y26" s="19">
        <v>23</v>
      </c>
      <c r="Z26" s="19"/>
      <c r="AA26" s="19">
        <v>23</v>
      </c>
      <c r="AB26" s="19"/>
      <c r="AC26" s="19">
        <v>23</v>
      </c>
      <c r="AD26" s="4">
        <f t="shared" si="0"/>
        <v>0</v>
      </c>
      <c r="AE26" s="4">
        <f t="shared" si="1"/>
        <v>144.71</v>
      </c>
      <c r="AF26" s="3"/>
      <c r="AG26" s="3">
        <v>145</v>
      </c>
      <c r="AH26" s="23"/>
    </row>
    <row r="27" spans="1:34" ht="30" customHeight="1" x14ac:dyDescent="0.3">
      <c r="A27" s="16" t="s">
        <v>9</v>
      </c>
      <c r="B27" s="16" t="s">
        <v>34</v>
      </c>
      <c r="C27" s="3"/>
      <c r="D27" s="3"/>
      <c r="E27" s="34">
        <v>3</v>
      </c>
      <c r="F27" s="3">
        <v>183</v>
      </c>
      <c r="G27" s="3">
        <v>14.26</v>
      </c>
      <c r="H27" s="3">
        <v>440.45</v>
      </c>
      <c r="I27" s="3">
        <v>34.33</v>
      </c>
      <c r="J27" s="3">
        <v>331.22</v>
      </c>
      <c r="K27" s="3">
        <v>25.82</v>
      </c>
      <c r="L27" s="3">
        <v>178.67</v>
      </c>
      <c r="M27" s="3">
        <v>13.93</v>
      </c>
      <c r="N27" s="3">
        <v>44.9</v>
      </c>
      <c r="O27" s="3">
        <v>3.5</v>
      </c>
      <c r="P27" s="3">
        <v>0.18</v>
      </c>
      <c r="Q27" s="3">
        <v>0.01</v>
      </c>
      <c r="R27" s="3">
        <v>0.11</v>
      </c>
      <c r="S27" s="3">
        <v>0.01</v>
      </c>
      <c r="T27" s="3">
        <v>0</v>
      </c>
      <c r="U27" s="3">
        <v>0</v>
      </c>
      <c r="V27" s="3">
        <v>0.01</v>
      </c>
      <c r="W27" s="3">
        <v>0</v>
      </c>
      <c r="X27" s="3">
        <v>157.03</v>
      </c>
      <c r="Y27" s="3">
        <v>12.24</v>
      </c>
      <c r="Z27" s="3">
        <v>253.42</v>
      </c>
      <c r="AA27" s="3">
        <v>19.75</v>
      </c>
      <c r="AB27" s="3">
        <v>342.04</v>
      </c>
      <c r="AC27" s="3">
        <v>26.66</v>
      </c>
      <c r="AD27" s="4">
        <f t="shared" si="0"/>
        <v>1931.0300000000002</v>
      </c>
      <c r="AE27" s="4">
        <f t="shared" si="1"/>
        <v>150.51000000000002</v>
      </c>
      <c r="AF27" s="3">
        <v>1900</v>
      </c>
      <c r="AG27" s="3">
        <v>149</v>
      </c>
      <c r="AH27" t="s">
        <v>11</v>
      </c>
    </row>
    <row r="28" spans="1:34" s="20" customFormat="1" ht="16.5" customHeight="1" x14ac:dyDescent="0.3">
      <c r="A28" s="17" t="s">
        <v>50</v>
      </c>
      <c r="B28" s="17"/>
      <c r="C28" s="19"/>
      <c r="D28" s="19"/>
      <c r="E28" s="35"/>
      <c r="F28" s="19"/>
      <c r="G28" s="19">
        <v>0</v>
      </c>
      <c r="H28" s="19"/>
      <c r="I28" s="19">
        <f>17.53-17.53</f>
        <v>0</v>
      </c>
      <c r="J28" s="19"/>
      <c r="K28" s="19">
        <f>17.53-17.53</f>
        <v>0</v>
      </c>
      <c r="L28" s="19"/>
      <c r="M28" s="19">
        <f>17.53-17.53</f>
        <v>0</v>
      </c>
      <c r="N28" s="19"/>
      <c r="O28" s="19">
        <v>17.53</v>
      </c>
      <c r="P28" s="19"/>
      <c r="Q28" s="19">
        <v>17.53</v>
      </c>
      <c r="R28" s="19"/>
      <c r="S28" s="19">
        <v>0</v>
      </c>
      <c r="T28" s="19"/>
      <c r="U28" s="19">
        <v>0</v>
      </c>
      <c r="V28" s="19"/>
      <c r="W28" s="19">
        <v>0</v>
      </c>
      <c r="X28" s="19"/>
      <c r="Y28" s="19">
        <v>6.26</v>
      </c>
      <c r="Z28" s="19"/>
      <c r="AA28" s="19">
        <v>10.1</v>
      </c>
      <c r="AB28" s="19"/>
      <c r="AC28" s="19">
        <v>13.63</v>
      </c>
      <c r="AD28" s="4">
        <f t="shared" si="0"/>
        <v>0</v>
      </c>
      <c r="AE28" s="4">
        <f t="shared" si="1"/>
        <v>65.05</v>
      </c>
      <c r="AF28" s="3"/>
      <c r="AG28" s="3">
        <v>65</v>
      </c>
    </row>
    <row r="29" spans="1:34" s="20" customFormat="1" ht="15.75" customHeight="1" x14ac:dyDescent="0.3">
      <c r="A29" s="17" t="s">
        <v>58</v>
      </c>
      <c r="B29" s="17"/>
      <c r="C29" s="19"/>
      <c r="D29" s="19"/>
      <c r="E29" s="35"/>
      <c r="F29" s="19"/>
      <c r="G29" s="19">
        <v>0</v>
      </c>
      <c r="H29" s="19"/>
      <c r="I29" s="19">
        <f>19.48-19.48</f>
        <v>0</v>
      </c>
      <c r="J29" s="19"/>
      <c r="K29" s="19">
        <f>14.65-14.65</f>
        <v>0</v>
      </c>
      <c r="L29" s="19"/>
      <c r="M29" s="19">
        <f>7.9-7.9</f>
        <v>0</v>
      </c>
      <c r="N29" s="19"/>
      <c r="O29" s="19">
        <v>1.99</v>
      </c>
      <c r="P29" s="19"/>
      <c r="Q29" s="19">
        <v>0.01</v>
      </c>
      <c r="R29" s="19"/>
      <c r="S29" s="19">
        <v>18.399999999999999</v>
      </c>
      <c r="T29" s="19"/>
      <c r="U29" s="19">
        <v>18.399999999999999</v>
      </c>
      <c r="V29" s="19"/>
      <c r="W29" s="19">
        <v>18.399999999999999</v>
      </c>
      <c r="X29" s="19"/>
      <c r="Y29" s="19">
        <v>18.399999999999999</v>
      </c>
      <c r="Z29" s="19"/>
      <c r="AA29" s="19">
        <v>18.399999999999999</v>
      </c>
      <c r="AB29" s="19"/>
      <c r="AC29" s="19">
        <v>18.399999999999999</v>
      </c>
      <c r="AD29" s="4">
        <f t="shared" si="0"/>
        <v>0</v>
      </c>
      <c r="AE29" s="4">
        <f t="shared" si="1"/>
        <v>112.4</v>
      </c>
      <c r="AF29" s="3"/>
      <c r="AG29" s="3">
        <v>112</v>
      </c>
    </row>
    <row r="30" spans="1:34" ht="30" customHeight="1" x14ac:dyDescent="0.3">
      <c r="A30" s="16" t="s">
        <v>14</v>
      </c>
      <c r="B30" s="16" t="s">
        <v>34</v>
      </c>
      <c r="C30" s="3"/>
      <c r="D30" s="3"/>
      <c r="E30" s="34">
        <v>3</v>
      </c>
      <c r="F30" s="3">
        <v>76</v>
      </c>
      <c r="G30" s="3">
        <v>5.92</v>
      </c>
      <c r="H30" s="3">
        <v>115.49</v>
      </c>
      <c r="I30" s="10">
        <v>9</v>
      </c>
      <c r="J30" s="3">
        <v>93.98</v>
      </c>
      <c r="K30" s="3">
        <v>7.33</v>
      </c>
      <c r="L30" s="3">
        <v>93.16</v>
      </c>
      <c r="M30" s="3">
        <v>7.26</v>
      </c>
      <c r="N30" s="3">
        <v>98.63</v>
      </c>
      <c r="O30" s="3">
        <v>7.69</v>
      </c>
      <c r="P30" s="3">
        <v>116.87</v>
      </c>
      <c r="Q30" s="3">
        <v>9.11</v>
      </c>
      <c r="R30" s="3">
        <v>120.69</v>
      </c>
      <c r="S30" s="3">
        <v>9.41</v>
      </c>
      <c r="T30" s="3">
        <v>126.42</v>
      </c>
      <c r="U30" s="3">
        <v>9.85</v>
      </c>
      <c r="V30" s="3">
        <v>112.39</v>
      </c>
      <c r="W30" s="3">
        <v>8.76</v>
      </c>
      <c r="X30" s="3">
        <v>110.51</v>
      </c>
      <c r="Y30" s="3">
        <v>8.61</v>
      </c>
      <c r="Z30" s="3">
        <v>97.66</v>
      </c>
      <c r="AA30" s="3">
        <v>7.61</v>
      </c>
      <c r="AB30" s="3">
        <v>84.37</v>
      </c>
      <c r="AC30" s="3">
        <v>6.58</v>
      </c>
      <c r="AD30" s="4">
        <f t="shared" si="0"/>
        <v>1246.17</v>
      </c>
      <c r="AE30" s="4">
        <f t="shared" si="1"/>
        <v>97.13</v>
      </c>
      <c r="AF30" s="3">
        <v>1250</v>
      </c>
      <c r="AG30" s="3">
        <v>98</v>
      </c>
      <c r="AH30" t="s">
        <v>11</v>
      </c>
    </row>
    <row r="31" spans="1:34" s="20" customFormat="1" ht="18.75" customHeight="1" x14ac:dyDescent="0.3">
      <c r="A31" s="17" t="s">
        <v>50</v>
      </c>
      <c r="B31" s="17"/>
      <c r="C31" s="19"/>
      <c r="D31" s="19"/>
      <c r="E31" s="35"/>
      <c r="F31" s="19"/>
      <c r="G31" s="19">
        <v>0</v>
      </c>
      <c r="H31" s="19"/>
      <c r="I31" s="19">
        <f>17.53-17.53</f>
        <v>0</v>
      </c>
      <c r="J31" s="19"/>
      <c r="K31" s="19">
        <f>17.53-17.53</f>
        <v>0</v>
      </c>
      <c r="L31" s="19"/>
      <c r="M31" s="19">
        <f>17.53-17.53</f>
        <v>0</v>
      </c>
      <c r="N31" s="19"/>
      <c r="O31" s="19">
        <v>17.53</v>
      </c>
      <c r="P31" s="19"/>
      <c r="Q31" s="19">
        <v>17.53</v>
      </c>
      <c r="R31" s="19"/>
      <c r="S31" s="19">
        <v>4.8099999999999996</v>
      </c>
      <c r="T31" s="19"/>
      <c r="U31" s="19">
        <v>5.04</v>
      </c>
      <c r="V31" s="19"/>
      <c r="W31" s="19">
        <v>4.4800000000000004</v>
      </c>
      <c r="X31" s="19"/>
      <c r="Y31" s="19">
        <v>4.4000000000000004</v>
      </c>
      <c r="Z31" s="19"/>
      <c r="AA31" s="19">
        <v>3.89</v>
      </c>
      <c r="AB31" s="19"/>
      <c r="AC31" s="19">
        <v>3.36</v>
      </c>
      <c r="AD31" s="4">
        <f t="shared" si="0"/>
        <v>0</v>
      </c>
      <c r="AE31" s="4">
        <f t="shared" si="1"/>
        <v>61.04</v>
      </c>
      <c r="AF31" s="3"/>
      <c r="AG31" s="3">
        <v>61</v>
      </c>
    </row>
    <row r="32" spans="1:34" s="20" customFormat="1" ht="21" customHeight="1" x14ac:dyDescent="0.3">
      <c r="A32" s="17" t="s">
        <v>58</v>
      </c>
      <c r="B32" s="17"/>
      <c r="C32" s="19"/>
      <c r="D32" s="19"/>
      <c r="E32" s="35"/>
      <c r="F32" s="19"/>
      <c r="G32" s="19">
        <v>0</v>
      </c>
      <c r="H32" s="19"/>
      <c r="I32" s="19">
        <f>5.11-5.11</f>
        <v>0</v>
      </c>
      <c r="J32" s="19"/>
      <c r="K32" s="19">
        <f>4.16-4.16</f>
        <v>0</v>
      </c>
      <c r="L32" s="19"/>
      <c r="M32" s="19">
        <f>4.12-4.12</f>
        <v>0</v>
      </c>
      <c r="N32" s="19"/>
      <c r="O32" s="19">
        <v>4.3600000000000003</v>
      </c>
      <c r="P32" s="19"/>
      <c r="Q32" s="19">
        <v>5.17</v>
      </c>
      <c r="R32" s="19"/>
      <c r="S32" s="19">
        <v>18.399999999999999</v>
      </c>
      <c r="T32" s="19"/>
      <c r="U32" s="19">
        <v>18.399999999999999</v>
      </c>
      <c r="V32" s="19"/>
      <c r="W32" s="19">
        <v>18.399999999999999</v>
      </c>
      <c r="X32" s="19"/>
      <c r="Y32" s="19">
        <v>18.399999999999999</v>
      </c>
      <c r="Z32" s="19"/>
      <c r="AA32" s="19">
        <v>18.399999999999999</v>
      </c>
      <c r="AB32" s="19"/>
      <c r="AC32" s="19">
        <v>18.399999999999999</v>
      </c>
      <c r="AD32" s="4">
        <f t="shared" si="0"/>
        <v>0</v>
      </c>
      <c r="AE32" s="4">
        <f t="shared" si="1"/>
        <v>119.93</v>
      </c>
      <c r="AF32" s="3"/>
      <c r="AG32" s="3">
        <v>120</v>
      </c>
    </row>
    <row r="33" spans="1:34" ht="33" customHeight="1" x14ac:dyDescent="0.3">
      <c r="A33" s="16" t="s">
        <v>15</v>
      </c>
      <c r="B33" s="16" t="s">
        <v>29</v>
      </c>
      <c r="C33" s="6"/>
      <c r="D33" s="6"/>
      <c r="E33" s="34">
        <v>3</v>
      </c>
      <c r="F33" s="3">
        <v>237.21</v>
      </c>
      <c r="G33" s="3">
        <v>18.489999999999998</v>
      </c>
      <c r="H33" s="3">
        <v>221.42</v>
      </c>
      <c r="I33" s="3">
        <v>17.260000000000002</v>
      </c>
      <c r="J33" s="3">
        <v>261.64999999999998</v>
      </c>
      <c r="K33" s="3">
        <v>20.399999999999999</v>
      </c>
      <c r="L33" s="3">
        <v>260.06</v>
      </c>
      <c r="M33" s="3">
        <v>20.27</v>
      </c>
      <c r="N33" s="3">
        <v>301.82</v>
      </c>
      <c r="O33" s="3">
        <v>23.53</v>
      </c>
      <c r="P33" s="3">
        <v>430.55</v>
      </c>
      <c r="Q33" s="3">
        <v>33.56</v>
      </c>
      <c r="R33" s="3">
        <v>307.77999999999997</v>
      </c>
      <c r="S33" s="3">
        <v>23.99</v>
      </c>
      <c r="T33" s="3">
        <v>274.74</v>
      </c>
      <c r="U33" s="3">
        <v>21.42</v>
      </c>
      <c r="V33" s="3">
        <v>220.51</v>
      </c>
      <c r="W33" s="3">
        <v>17.190000000000001</v>
      </c>
      <c r="X33" s="3">
        <v>259.24</v>
      </c>
      <c r="Y33" s="3">
        <v>20.21</v>
      </c>
      <c r="Z33" s="3">
        <v>282.33</v>
      </c>
      <c r="AA33" s="3">
        <v>22.01</v>
      </c>
      <c r="AB33" s="3">
        <v>255.51</v>
      </c>
      <c r="AC33" s="3">
        <v>19.920000000000002</v>
      </c>
      <c r="AD33" s="4">
        <f t="shared" si="0"/>
        <v>3312.8199999999997</v>
      </c>
      <c r="AE33" s="4">
        <f t="shared" si="1"/>
        <v>258.25</v>
      </c>
      <c r="AF33" s="3">
        <v>3300</v>
      </c>
      <c r="AG33" s="3">
        <v>258</v>
      </c>
      <c r="AH33" s="15" t="s">
        <v>31</v>
      </c>
    </row>
    <row r="34" spans="1:34" s="20" customFormat="1" ht="18" customHeight="1" x14ac:dyDescent="0.3">
      <c r="A34" s="17" t="s">
        <v>50</v>
      </c>
      <c r="B34" s="17"/>
      <c r="C34" s="21"/>
      <c r="D34" s="22"/>
      <c r="E34" s="35"/>
      <c r="F34" s="19"/>
      <c r="G34" s="19">
        <v>0</v>
      </c>
      <c r="H34" s="19"/>
      <c r="I34" s="19">
        <f>21.92-21.92</f>
        <v>0</v>
      </c>
      <c r="J34" s="19"/>
      <c r="K34" s="19">
        <f>21.92-21.92</f>
        <v>0</v>
      </c>
      <c r="L34" s="19"/>
      <c r="M34" s="19">
        <f>21.92-21.92</f>
        <v>0</v>
      </c>
      <c r="N34" s="19"/>
      <c r="O34" s="19">
        <v>21.92</v>
      </c>
      <c r="P34" s="19"/>
      <c r="Q34" s="19">
        <v>21.92</v>
      </c>
      <c r="R34" s="19"/>
      <c r="S34" s="19">
        <v>12.27</v>
      </c>
      <c r="T34" s="19"/>
      <c r="U34" s="19">
        <v>10.95</v>
      </c>
      <c r="V34" s="19"/>
      <c r="W34" s="19">
        <v>8.7899999999999991</v>
      </c>
      <c r="X34" s="19"/>
      <c r="Y34" s="19">
        <v>10.33</v>
      </c>
      <c r="Z34" s="19"/>
      <c r="AA34" s="19">
        <v>11.25</v>
      </c>
      <c r="AB34" s="19"/>
      <c r="AC34" s="19">
        <v>10.18</v>
      </c>
      <c r="AD34" s="4">
        <f t="shared" si="0"/>
        <v>0</v>
      </c>
      <c r="AE34" s="4">
        <f t="shared" si="1"/>
        <v>107.60999999999999</v>
      </c>
      <c r="AF34" s="3"/>
      <c r="AG34" s="3">
        <v>108</v>
      </c>
      <c r="AH34" s="23"/>
    </row>
    <row r="35" spans="1:34" s="20" customFormat="1" ht="17.25" customHeight="1" x14ac:dyDescent="0.3">
      <c r="A35" s="17" t="s">
        <v>53</v>
      </c>
      <c r="B35" s="17"/>
      <c r="C35" s="21"/>
      <c r="D35" s="22"/>
      <c r="E35" s="35"/>
      <c r="F35" s="19"/>
      <c r="G35" s="19">
        <v>0</v>
      </c>
      <c r="H35" s="19"/>
      <c r="I35" s="19">
        <f>9.79-9.79</f>
        <v>0</v>
      </c>
      <c r="J35" s="19"/>
      <c r="K35" s="19">
        <f>11.57-11.57</f>
        <v>0</v>
      </c>
      <c r="L35" s="19"/>
      <c r="M35" s="19">
        <f>11.5-11.5</f>
        <v>0</v>
      </c>
      <c r="N35" s="19"/>
      <c r="O35" s="19">
        <v>13.35</v>
      </c>
      <c r="P35" s="19"/>
      <c r="Q35" s="19">
        <v>19.04</v>
      </c>
      <c r="R35" s="19"/>
      <c r="S35" s="19">
        <v>23</v>
      </c>
      <c r="T35" s="19"/>
      <c r="U35" s="19">
        <v>23</v>
      </c>
      <c r="V35" s="19"/>
      <c r="W35" s="19">
        <v>23</v>
      </c>
      <c r="X35" s="19"/>
      <c r="Y35" s="19">
        <v>23</v>
      </c>
      <c r="Z35" s="19"/>
      <c r="AA35" s="19">
        <v>23</v>
      </c>
      <c r="AB35" s="19"/>
      <c r="AC35" s="19">
        <v>23</v>
      </c>
      <c r="AD35" s="4">
        <f t="shared" si="0"/>
        <v>0</v>
      </c>
      <c r="AE35" s="4">
        <f t="shared" si="1"/>
        <v>170.39</v>
      </c>
      <c r="AF35" s="3"/>
      <c r="AG35" s="3">
        <v>170</v>
      </c>
      <c r="AH35" s="23"/>
    </row>
    <row r="36" spans="1:34" ht="17.25" customHeight="1" x14ac:dyDescent="0.3">
      <c r="A36" s="16" t="s">
        <v>59</v>
      </c>
      <c r="B36" s="16" t="s">
        <v>35</v>
      </c>
      <c r="C36" s="6"/>
      <c r="D36" s="6"/>
      <c r="E36" s="34">
        <v>1</v>
      </c>
      <c r="F36" s="3">
        <v>100.47</v>
      </c>
      <c r="G36" s="3">
        <v>7.83</v>
      </c>
      <c r="H36" s="3">
        <v>102.51</v>
      </c>
      <c r="I36" s="3">
        <v>7.99</v>
      </c>
      <c r="J36" s="3">
        <v>141.01</v>
      </c>
      <c r="K36" s="3">
        <v>10.99</v>
      </c>
      <c r="L36" s="3">
        <v>130.37</v>
      </c>
      <c r="M36" s="3">
        <v>10.16</v>
      </c>
      <c r="N36" s="3">
        <v>136.11000000000001</v>
      </c>
      <c r="O36" s="3">
        <v>10.61</v>
      </c>
      <c r="P36" s="3">
        <v>54.98</v>
      </c>
      <c r="Q36" s="3">
        <v>4.29</v>
      </c>
      <c r="R36" s="3">
        <v>46.28</v>
      </c>
      <c r="S36" s="3">
        <v>3.61</v>
      </c>
      <c r="T36" s="3">
        <v>70.290000000000006</v>
      </c>
      <c r="U36" s="3">
        <v>5.48</v>
      </c>
      <c r="V36" s="3">
        <v>63.95</v>
      </c>
      <c r="W36" s="3">
        <v>4.9800000000000004</v>
      </c>
      <c r="X36" s="3">
        <v>124.02</v>
      </c>
      <c r="Y36" s="3">
        <v>9.67</v>
      </c>
      <c r="Z36" s="3">
        <v>265.72000000000003</v>
      </c>
      <c r="AA36" s="3">
        <v>20.71</v>
      </c>
      <c r="AB36" s="3">
        <v>251.49</v>
      </c>
      <c r="AC36" s="3">
        <v>19.600000000000001</v>
      </c>
      <c r="AD36" s="4">
        <f t="shared" si="0"/>
        <v>1487.2</v>
      </c>
      <c r="AE36" s="4">
        <f t="shared" si="1"/>
        <v>115.91999999999999</v>
      </c>
      <c r="AF36" s="3">
        <v>1490</v>
      </c>
      <c r="AG36" s="3">
        <v>116</v>
      </c>
      <c r="AH36" s="15" t="s">
        <v>28</v>
      </c>
    </row>
    <row r="37" spans="1:34" s="20" customFormat="1" ht="18.600000000000001" customHeight="1" x14ac:dyDescent="0.3">
      <c r="A37" s="17" t="s">
        <v>50</v>
      </c>
      <c r="B37" s="17"/>
      <c r="C37" s="22"/>
      <c r="D37" s="22"/>
      <c r="E37" s="35"/>
      <c r="F37" s="19"/>
      <c r="G37" s="19">
        <v>0</v>
      </c>
      <c r="H37" s="19"/>
      <c r="I37" s="19">
        <f>5.42-5.42</f>
        <v>0</v>
      </c>
      <c r="J37" s="19"/>
      <c r="K37" s="19">
        <f>6.99-6.99</f>
        <v>0</v>
      </c>
      <c r="L37" s="19"/>
      <c r="M37" s="19">
        <f>5.31-5.31</f>
        <v>0</v>
      </c>
      <c r="N37" s="19"/>
      <c r="O37" s="19">
        <v>6.79</v>
      </c>
      <c r="P37" s="19"/>
      <c r="Q37" s="19">
        <v>3.48</v>
      </c>
      <c r="R37" s="19"/>
      <c r="S37" s="19">
        <v>1.84</v>
      </c>
      <c r="T37" s="19"/>
      <c r="U37" s="19">
        <v>2.8</v>
      </c>
      <c r="V37" s="19"/>
      <c r="W37" s="19">
        <v>2.5499999999999998</v>
      </c>
      <c r="X37" s="19"/>
      <c r="Y37" s="19">
        <v>4.9400000000000004</v>
      </c>
      <c r="Z37" s="19"/>
      <c r="AA37" s="19">
        <v>10.59</v>
      </c>
      <c r="AB37" s="19"/>
      <c r="AC37" s="19">
        <v>10.02</v>
      </c>
      <c r="AD37" s="4">
        <f t="shared" si="0"/>
        <v>0</v>
      </c>
      <c r="AE37" s="4">
        <f t="shared" si="1"/>
        <v>43.010000000000005</v>
      </c>
      <c r="AF37" s="3"/>
      <c r="AG37" s="3">
        <v>43</v>
      </c>
      <c r="AH37" s="23"/>
    </row>
    <row r="38" spans="1:34" s="20" customFormat="1" ht="17.25" customHeight="1" x14ac:dyDescent="0.3">
      <c r="A38" s="17" t="s">
        <v>58</v>
      </c>
      <c r="B38" s="17"/>
      <c r="C38" s="22"/>
      <c r="D38" s="22"/>
      <c r="E38" s="35"/>
      <c r="F38" s="19"/>
      <c r="G38" s="19">
        <v>0</v>
      </c>
      <c r="H38" s="19"/>
      <c r="I38" s="19">
        <v>0</v>
      </c>
      <c r="J38" s="19"/>
      <c r="K38" s="19">
        <v>0</v>
      </c>
      <c r="L38" s="19"/>
      <c r="M38" s="19">
        <v>0</v>
      </c>
      <c r="N38" s="19"/>
      <c r="O38" s="19">
        <v>0</v>
      </c>
      <c r="P38" s="19"/>
      <c r="Q38" s="19">
        <v>0</v>
      </c>
      <c r="R38" s="19"/>
      <c r="S38" s="19">
        <v>7.6</v>
      </c>
      <c r="T38" s="19"/>
      <c r="U38" s="19">
        <v>7.6</v>
      </c>
      <c r="V38" s="19"/>
      <c r="W38" s="19">
        <v>7.6</v>
      </c>
      <c r="X38" s="19"/>
      <c r="Y38" s="19">
        <v>7.6</v>
      </c>
      <c r="Z38" s="19"/>
      <c r="AA38" s="19">
        <v>7.6</v>
      </c>
      <c r="AB38" s="19"/>
      <c r="AC38" s="19">
        <v>7.6</v>
      </c>
      <c r="AD38" s="4"/>
      <c r="AE38" s="4"/>
      <c r="AF38" s="3"/>
      <c r="AG38" s="3"/>
      <c r="AH38" s="23"/>
    </row>
    <row r="39" spans="1:34" ht="17.25" customHeight="1" x14ac:dyDescent="0.3">
      <c r="A39" s="16" t="s">
        <v>30</v>
      </c>
      <c r="B39" s="16" t="s">
        <v>29</v>
      </c>
      <c r="C39" s="6"/>
      <c r="D39" s="6"/>
      <c r="E39" s="34">
        <v>3</v>
      </c>
      <c r="F39" s="3">
        <v>0.02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0.01</v>
      </c>
      <c r="S39" s="3">
        <v>0</v>
      </c>
      <c r="T39" s="3">
        <v>0.05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4">
        <f t="shared" si="0"/>
        <v>0.08</v>
      </c>
      <c r="AE39" s="4">
        <f t="shared" si="1"/>
        <v>0</v>
      </c>
      <c r="AF39" s="3">
        <v>0</v>
      </c>
      <c r="AG39" s="3">
        <v>0</v>
      </c>
      <c r="AH39" s="15" t="s">
        <v>29</v>
      </c>
    </row>
    <row r="40" spans="1:34" s="20" customFormat="1" ht="17.25" customHeight="1" x14ac:dyDescent="0.3">
      <c r="A40" s="17" t="s">
        <v>50</v>
      </c>
      <c r="B40" s="17"/>
      <c r="C40" s="22"/>
      <c r="D40" s="22"/>
      <c r="E40" s="35"/>
      <c r="F40" s="19"/>
      <c r="G40" s="19">
        <v>0</v>
      </c>
      <c r="H40" s="19"/>
      <c r="I40" s="19">
        <v>0</v>
      </c>
      <c r="J40" s="19"/>
      <c r="K40" s="19">
        <v>0</v>
      </c>
      <c r="L40" s="19"/>
      <c r="M40" s="19">
        <f>26.3-26.3</f>
        <v>0</v>
      </c>
      <c r="N40" s="19"/>
      <c r="O40" s="19">
        <v>26.3</v>
      </c>
      <c r="P40" s="19"/>
      <c r="Q40" s="19">
        <v>26.3</v>
      </c>
      <c r="R40" s="19"/>
      <c r="S40" s="19">
        <v>0</v>
      </c>
      <c r="T40" s="19"/>
      <c r="U40" s="19">
        <v>0</v>
      </c>
      <c r="V40" s="19"/>
      <c r="W40" s="19">
        <v>0</v>
      </c>
      <c r="X40" s="19"/>
      <c r="Y40" s="19">
        <v>0</v>
      </c>
      <c r="Z40" s="19"/>
      <c r="AA40" s="19">
        <v>0</v>
      </c>
      <c r="AB40" s="19"/>
      <c r="AC40" s="19">
        <v>0</v>
      </c>
      <c r="AD40" s="4">
        <f t="shared" si="0"/>
        <v>0</v>
      </c>
      <c r="AE40" s="4">
        <f t="shared" si="1"/>
        <v>52.6</v>
      </c>
      <c r="AF40" s="3"/>
      <c r="AG40" s="3">
        <v>53</v>
      </c>
      <c r="AH40" s="23"/>
    </row>
    <row r="41" spans="1:34" s="20" customFormat="1" ht="17.25" customHeight="1" x14ac:dyDescent="0.3">
      <c r="A41" s="17" t="s">
        <v>60</v>
      </c>
      <c r="B41" s="17"/>
      <c r="C41" s="22"/>
      <c r="D41" s="22"/>
      <c r="E41" s="35"/>
      <c r="F41" s="19"/>
      <c r="G41" s="19">
        <v>0</v>
      </c>
      <c r="H41" s="19"/>
      <c r="I41" s="19">
        <v>0</v>
      </c>
      <c r="J41" s="19"/>
      <c r="K41" s="19">
        <v>0</v>
      </c>
      <c r="L41" s="19"/>
      <c r="M41" s="19">
        <v>0</v>
      </c>
      <c r="N41" s="19"/>
      <c r="O41" s="19">
        <v>0</v>
      </c>
      <c r="P41" s="19"/>
      <c r="Q41" s="19">
        <v>0</v>
      </c>
      <c r="R41" s="19">
        <v>0</v>
      </c>
      <c r="S41" s="19">
        <v>27.6</v>
      </c>
      <c r="T41" s="19"/>
      <c r="U41" s="19">
        <v>27.6</v>
      </c>
      <c r="V41" s="19"/>
      <c r="W41" s="19">
        <v>27.6</v>
      </c>
      <c r="X41" s="19"/>
      <c r="Y41" s="19">
        <v>27.6</v>
      </c>
      <c r="Z41" s="19"/>
      <c r="AA41" s="19">
        <v>27.6</v>
      </c>
      <c r="AB41" s="19"/>
      <c r="AC41" s="19">
        <v>27.6</v>
      </c>
      <c r="AD41" s="4">
        <f t="shared" si="0"/>
        <v>0</v>
      </c>
      <c r="AE41" s="4">
        <f t="shared" si="1"/>
        <v>165.6</v>
      </c>
      <c r="AF41" s="3"/>
      <c r="AG41" s="3">
        <v>166</v>
      </c>
      <c r="AH41" s="23"/>
    </row>
    <row r="42" spans="1:34" ht="34.5" customHeight="1" x14ac:dyDescent="0.3">
      <c r="A42" s="16" t="s">
        <v>16</v>
      </c>
      <c r="B42" s="16" t="s">
        <v>29</v>
      </c>
      <c r="C42" s="3"/>
      <c r="D42" s="3"/>
      <c r="E42" s="34">
        <v>3</v>
      </c>
      <c r="F42" s="3">
        <v>1085.2</v>
      </c>
      <c r="G42" s="3">
        <v>84.59</v>
      </c>
      <c r="H42" s="3">
        <v>634.78</v>
      </c>
      <c r="I42" s="3">
        <v>49.48</v>
      </c>
      <c r="J42" s="3">
        <v>972.71</v>
      </c>
      <c r="K42" s="3">
        <v>75.819999999999993</v>
      </c>
      <c r="L42" s="3">
        <v>432.31</v>
      </c>
      <c r="M42" s="3">
        <v>33.700000000000003</v>
      </c>
      <c r="N42" s="3">
        <v>181.99</v>
      </c>
      <c r="O42" s="3">
        <v>14.19</v>
      </c>
      <c r="P42" s="3">
        <v>78.17</v>
      </c>
      <c r="Q42" s="3">
        <v>6.09</v>
      </c>
      <c r="R42" s="3">
        <v>236.44</v>
      </c>
      <c r="S42" s="3">
        <v>18.43</v>
      </c>
      <c r="T42" s="3">
        <v>144.63999999999999</v>
      </c>
      <c r="U42" s="3">
        <v>11.27</v>
      </c>
      <c r="V42" s="3">
        <v>56.24</v>
      </c>
      <c r="W42" s="3">
        <v>4.38</v>
      </c>
      <c r="X42" s="3">
        <v>150.96</v>
      </c>
      <c r="Y42" s="3">
        <v>11.77</v>
      </c>
      <c r="Z42" s="3">
        <v>113.78</v>
      </c>
      <c r="AA42" s="3">
        <v>8.8699999999999992</v>
      </c>
      <c r="AB42" s="3">
        <v>681.57</v>
      </c>
      <c r="AC42" s="3">
        <v>53.13</v>
      </c>
      <c r="AD42" s="4">
        <f t="shared" si="0"/>
        <v>4768.79</v>
      </c>
      <c r="AE42" s="4">
        <f t="shared" si="1"/>
        <v>371.71999999999991</v>
      </c>
      <c r="AF42" s="3">
        <v>4800</v>
      </c>
      <c r="AG42" s="3">
        <v>372</v>
      </c>
      <c r="AH42" t="s">
        <v>12</v>
      </c>
    </row>
    <row r="43" spans="1:34" s="20" customFormat="1" ht="18" customHeight="1" x14ac:dyDescent="0.3">
      <c r="A43" s="17" t="s">
        <v>50</v>
      </c>
      <c r="B43" s="17"/>
      <c r="C43" s="19"/>
      <c r="D43" s="19"/>
      <c r="E43" s="35"/>
      <c r="F43" s="19"/>
      <c r="G43" s="19">
        <v>0</v>
      </c>
      <c r="H43" s="19"/>
      <c r="I43" s="19">
        <f>35.07-35.07</f>
        <v>0</v>
      </c>
      <c r="J43" s="19"/>
      <c r="K43" s="19">
        <f>35.07-35.07</f>
        <v>0</v>
      </c>
      <c r="L43" s="19"/>
      <c r="M43" s="19">
        <f>35.07-35.07</f>
        <v>0</v>
      </c>
      <c r="N43" s="19"/>
      <c r="O43" s="19">
        <v>35.07</v>
      </c>
      <c r="P43" s="19"/>
      <c r="Q43" s="19">
        <v>35.07</v>
      </c>
      <c r="R43" s="19"/>
      <c r="S43" s="19">
        <v>9.42</v>
      </c>
      <c r="T43" s="19"/>
      <c r="U43" s="19">
        <v>5.76</v>
      </c>
      <c r="V43" s="19"/>
      <c r="W43" s="19">
        <v>2.2400000000000002</v>
      </c>
      <c r="X43" s="19"/>
      <c r="Y43" s="19">
        <v>6.02</v>
      </c>
      <c r="Z43" s="19"/>
      <c r="AA43" s="19">
        <v>4.53</v>
      </c>
      <c r="AB43" s="19"/>
      <c r="AC43" s="19">
        <v>27.16</v>
      </c>
      <c r="AD43" s="4">
        <f t="shared" si="0"/>
        <v>0</v>
      </c>
      <c r="AE43" s="4">
        <f t="shared" si="1"/>
        <v>125.27</v>
      </c>
      <c r="AF43" s="3"/>
      <c r="AG43" s="3">
        <v>126</v>
      </c>
    </row>
    <row r="44" spans="1:34" s="20" customFormat="1" ht="17.25" customHeight="1" x14ac:dyDescent="0.3">
      <c r="A44" s="17" t="s">
        <v>61</v>
      </c>
      <c r="B44" s="17"/>
      <c r="C44" s="19"/>
      <c r="D44" s="19"/>
      <c r="E44" s="35"/>
      <c r="F44" s="19"/>
      <c r="G44" s="19">
        <v>0</v>
      </c>
      <c r="H44" s="19"/>
      <c r="I44" s="19">
        <f>28.07-28.07</f>
        <v>0</v>
      </c>
      <c r="J44" s="19"/>
      <c r="K44" s="19">
        <f>43.01-43.01</f>
        <v>0</v>
      </c>
      <c r="L44" s="19"/>
      <c r="M44" s="19">
        <f>19.12-19.12</f>
        <v>0</v>
      </c>
      <c r="N44" s="19"/>
      <c r="O44" s="19">
        <v>8.0500000000000007</v>
      </c>
      <c r="P44" s="19"/>
      <c r="Q44" s="19">
        <v>3.46</v>
      </c>
      <c r="R44" s="19"/>
      <c r="S44" s="19">
        <v>36.799999999999997</v>
      </c>
      <c r="T44" s="19"/>
      <c r="U44" s="19">
        <v>36.799999999999997</v>
      </c>
      <c r="V44" s="19"/>
      <c r="W44" s="19">
        <v>36.799999999999997</v>
      </c>
      <c r="X44" s="19"/>
      <c r="Y44" s="19">
        <v>36.799999999999997</v>
      </c>
      <c r="Z44" s="19"/>
      <c r="AA44" s="19">
        <v>36.799999999999997</v>
      </c>
      <c r="AB44" s="19"/>
      <c r="AC44" s="19">
        <v>36.799999999999997</v>
      </c>
      <c r="AD44" s="4">
        <f t="shared" si="0"/>
        <v>0</v>
      </c>
      <c r="AE44" s="4">
        <f t="shared" si="1"/>
        <v>232.31</v>
      </c>
      <c r="AF44" s="3"/>
      <c r="AG44" s="3">
        <v>232</v>
      </c>
    </row>
    <row r="45" spans="1:34" ht="33" customHeight="1" x14ac:dyDescent="0.3">
      <c r="A45" s="16" t="s">
        <v>17</v>
      </c>
      <c r="B45" s="16" t="s">
        <v>34</v>
      </c>
      <c r="C45" s="10"/>
      <c r="D45" s="3"/>
      <c r="E45" s="36">
        <v>3</v>
      </c>
      <c r="F45" s="3">
        <v>1035.54</v>
      </c>
      <c r="G45" s="3">
        <v>80.72</v>
      </c>
      <c r="H45" s="3">
        <v>1013.87</v>
      </c>
      <c r="I45" s="3">
        <v>79.03</v>
      </c>
      <c r="J45" s="3">
        <v>915.85</v>
      </c>
      <c r="K45" s="3">
        <v>71.39</v>
      </c>
      <c r="L45" s="3">
        <v>570.08000000000004</v>
      </c>
      <c r="M45" s="3">
        <v>44.44</v>
      </c>
      <c r="N45" s="3">
        <v>674.81</v>
      </c>
      <c r="O45" s="3">
        <v>52.6</v>
      </c>
      <c r="P45" s="3">
        <v>748.4</v>
      </c>
      <c r="Q45" s="3">
        <v>58.34</v>
      </c>
      <c r="R45" s="3">
        <v>837.28</v>
      </c>
      <c r="S45" s="3">
        <v>65.27</v>
      </c>
      <c r="T45" s="3">
        <v>284.58999999999997</v>
      </c>
      <c r="U45" s="3">
        <v>22.18</v>
      </c>
      <c r="V45" s="3">
        <v>158.4</v>
      </c>
      <c r="W45" s="3">
        <v>12.35</v>
      </c>
      <c r="X45" s="3">
        <v>163.31</v>
      </c>
      <c r="Y45" s="3">
        <v>12.73</v>
      </c>
      <c r="Z45" s="3">
        <v>400.42</v>
      </c>
      <c r="AA45" s="3">
        <v>31.21</v>
      </c>
      <c r="AB45" s="3">
        <v>845.16</v>
      </c>
      <c r="AC45" s="3">
        <v>65.88</v>
      </c>
      <c r="AD45" s="4">
        <f t="shared" si="0"/>
        <v>7647.7099999999991</v>
      </c>
      <c r="AE45" s="4">
        <f t="shared" si="1"/>
        <v>596.14</v>
      </c>
      <c r="AF45" s="3">
        <v>7648</v>
      </c>
      <c r="AG45" s="3">
        <v>596</v>
      </c>
      <c r="AH45" t="s">
        <v>11</v>
      </c>
    </row>
    <row r="46" spans="1:34" s="20" customFormat="1" ht="18.75" customHeight="1" x14ac:dyDescent="0.3">
      <c r="A46" s="17" t="s">
        <v>50</v>
      </c>
      <c r="B46" s="17"/>
      <c r="C46" s="24"/>
      <c r="D46" s="19"/>
      <c r="E46" s="37"/>
      <c r="F46" s="19"/>
      <c r="G46" s="19">
        <v>0</v>
      </c>
      <c r="H46" s="19"/>
      <c r="I46" s="19">
        <f>21.92-21.92</f>
        <v>0</v>
      </c>
      <c r="J46" s="19"/>
      <c r="K46" s="19">
        <f>21.92-21.92</f>
        <v>0</v>
      </c>
      <c r="L46" s="19"/>
      <c r="M46" s="19">
        <f>21.92-21.92</f>
        <v>0</v>
      </c>
      <c r="N46" s="19"/>
      <c r="O46" s="19">
        <v>21.92</v>
      </c>
      <c r="P46" s="19"/>
      <c r="Q46" s="19">
        <v>21.92</v>
      </c>
      <c r="R46" s="19"/>
      <c r="S46" s="19">
        <v>33.369999999999997</v>
      </c>
      <c r="T46" s="19"/>
      <c r="U46" s="19">
        <v>11.34</v>
      </c>
      <c r="V46" s="19"/>
      <c r="W46" s="19">
        <v>6.31</v>
      </c>
      <c r="X46" s="19"/>
      <c r="Y46" s="19">
        <v>6.51</v>
      </c>
      <c r="Z46" s="19"/>
      <c r="AA46" s="19">
        <v>15.96</v>
      </c>
      <c r="AB46" s="19"/>
      <c r="AC46" s="19">
        <v>33.68</v>
      </c>
      <c r="AD46" s="4">
        <f t="shared" si="0"/>
        <v>0</v>
      </c>
      <c r="AE46" s="4">
        <f t="shared" si="1"/>
        <v>151.01000000000002</v>
      </c>
      <c r="AF46" s="3"/>
      <c r="AG46" s="3">
        <v>151</v>
      </c>
    </row>
    <row r="47" spans="1:34" s="20" customFormat="1" ht="18.75" customHeight="1" x14ac:dyDescent="0.3">
      <c r="A47" s="17" t="s">
        <v>53</v>
      </c>
      <c r="B47" s="17"/>
      <c r="C47" s="24"/>
      <c r="D47" s="19"/>
      <c r="E47" s="37"/>
      <c r="F47" s="19"/>
      <c r="G47" s="19">
        <v>0</v>
      </c>
      <c r="H47" s="19"/>
      <c r="I47" s="19">
        <f>44.83-44.83</f>
        <v>0</v>
      </c>
      <c r="J47" s="19"/>
      <c r="K47" s="19">
        <f>40.5-40.5</f>
        <v>0</v>
      </c>
      <c r="L47" s="19"/>
      <c r="M47" s="19">
        <f>25.21-25.21</f>
        <v>0</v>
      </c>
      <c r="N47" s="19"/>
      <c r="O47" s="19">
        <v>29.84</v>
      </c>
      <c r="P47" s="19"/>
      <c r="Q47" s="19">
        <v>33.090000000000003</v>
      </c>
      <c r="R47" s="19"/>
      <c r="S47" s="19">
        <v>23</v>
      </c>
      <c r="T47" s="19"/>
      <c r="U47" s="19">
        <v>23</v>
      </c>
      <c r="V47" s="19"/>
      <c r="W47" s="19">
        <v>23</v>
      </c>
      <c r="X47" s="19"/>
      <c r="Y47" s="19">
        <v>23</v>
      </c>
      <c r="Z47" s="19"/>
      <c r="AA47" s="19">
        <v>23</v>
      </c>
      <c r="AB47" s="19"/>
      <c r="AC47" s="19">
        <v>23</v>
      </c>
      <c r="AD47" s="4">
        <f t="shared" si="0"/>
        <v>0</v>
      </c>
      <c r="AE47" s="4">
        <f t="shared" si="1"/>
        <v>200.93</v>
      </c>
      <c r="AF47" s="3"/>
      <c r="AG47" s="3">
        <v>201</v>
      </c>
    </row>
    <row r="48" spans="1:34" ht="18.75" customHeight="1" x14ac:dyDescent="0.3">
      <c r="A48" s="16" t="s">
        <v>62</v>
      </c>
      <c r="B48" s="16" t="s">
        <v>35</v>
      </c>
      <c r="C48" s="10"/>
      <c r="D48" s="3"/>
      <c r="E48" s="36">
        <v>1</v>
      </c>
      <c r="F48" s="3">
        <v>461.39</v>
      </c>
      <c r="G48" s="3">
        <v>35.97</v>
      </c>
      <c r="H48" s="3">
        <v>410.42</v>
      </c>
      <c r="I48" s="3">
        <v>31.99</v>
      </c>
      <c r="J48" s="3">
        <v>403.31</v>
      </c>
      <c r="K48" s="3">
        <v>31.44</v>
      </c>
      <c r="L48" s="3">
        <v>334</v>
      </c>
      <c r="M48" s="3">
        <v>26.04</v>
      </c>
      <c r="N48" s="3">
        <v>247.61</v>
      </c>
      <c r="O48" s="3">
        <v>19.3</v>
      </c>
      <c r="P48" s="3">
        <v>207.84</v>
      </c>
      <c r="Q48" s="3">
        <v>16.2</v>
      </c>
      <c r="R48" s="3">
        <v>226.73</v>
      </c>
      <c r="S48" s="3">
        <v>17.670000000000002</v>
      </c>
      <c r="T48" s="3">
        <v>240.93</v>
      </c>
      <c r="U48" s="3">
        <v>18.78</v>
      </c>
      <c r="V48" s="3">
        <v>227.59</v>
      </c>
      <c r="W48" s="3">
        <v>17.739999999999998</v>
      </c>
      <c r="X48" s="3">
        <v>382.1</v>
      </c>
      <c r="Y48" s="3">
        <v>29.78</v>
      </c>
      <c r="Z48" s="3">
        <v>410.44</v>
      </c>
      <c r="AA48" s="3">
        <v>31.99</v>
      </c>
      <c r="AB48" s="3">
        <v>408.08</v>
      </c>
      <c r="AC48" s="3">
        <v>31.81</v>
      </c>
      <c r="AD48" s="4">
        <f t="shared" si="0"/>
        <v>3960.44</v>
      </c>
      <c r="AE48" s="4">
        <f t="shared" si="1"/>
        <v>308.71000000000004</v>
      </c>
      <c r="AF48" s="3">
        <v>3960</v>
      </c>
      <c r="AG48" s="3">
        <v>309</v>
      </c>
      <c r="AH48" t="s">
        <v>28</v>
      </c>
    </row>
    <row r="49" spans="1:34" s="20" customFormat="1" ht="18.75" customHeight="1" x14ac:dyDescent="0.3">
      <c r="A49" s="17" t="s">
        <v>50</v>
      </c>
      <c r="B49" s="17"/>
      <c r="C49" s="24"/>
      <c r="D49" s="19"/>
      <c r="E49" s="37"/>
      <c r="F49" s="19"/>
      <c r="G49" s="19">
        <v>0</v>
      </c>
      <c r="H49" s="19"/>
      <c r="I49" s="19">
        <f>17.97-17.97</f>
        <v>0</v>
      </c>
      <c r="J49" s="19"/>
      <c r="K49" s="19">
        <f>17.97-17.97</f>
        <v>0</v>
      </c>
      <c r="L49" s="19"/>
      <c r="M49" s="19">
        <f>14.85-14.85</f>
        <v>0</v>
      </c>
      <c r="N49" s="19"/>
      <c r="O49" s="19">
        <v>11.33</v>
      </c>
      <c r="P49" s="19"/>
      <c r="Q49" s="19">
        <v>9.7100000000000009</v>
      </c>
      <c r="R49" s="19"/>
      <c r="S49" s="19">
        <v>9.0399999999999991</v>
      </c>
      <c r="T49" s="19"/>
      <c r="U49" s="19">
        <v>9.6</v>
      </c>
      <c r="V49" s="19"/>
      <c r="W49" s="19">
        <v>9.07</v>
      </c>
      <c r="X49" s="19"/>
      <c r="Y49" s="19">
        <v>15.23</v>
      </c>
      <c r="Z49" s="19"/>
      <c r="AA49" s="19">
        <v>16.36</v>
      </c>
      <c r="AB49" s="19"/>
      <c r="AC49" s="19">
        <v>16.260000000000002</v>
      </c>
      <c r="AD49" s="4">
        <f t="shared" si="0"/>
        <v>0</v>
      </c>
      <c r="AE49" s="4">
        <f t="shared" si="1"/>
        <v>96.600000000000009</v>
      </c>
      <c r="AF49" s="3"/>
      <c r="AG49" s="3">
        <v>195</v>
      </c>
    </row>
    <row r="50" spans="1:34" s="20" customFormat="1" ht="18.75" customHeight="1" x14ac:dyDescent="0.3">
      <c r="A50" s="17" t="s">
        <v>53</v>
      </c>
      <c r="B50" s="17"/>
      <c r="C50" s="24"/>
      <c r="D50" s="19"/>
      <c r="E50" s="37"/>
      <c r="F50" s="19"/>
      <c r="G50" s="19">
        <v>0</v>
      </c>
      <c r="H50" s="19"/>
      <c r="I50" s="19">
        <v>0</v>
      </c>
      <c r="J50" s="19"/>
      <c r="K50" s="19">
        <v>0</v>
      </c>
      <c r="L50" s="19"/>
      <c r="M50" s="19">
        <v>0</v>
      </c>
      <c r="N50" s="19"/>
      <c r="O50" s="19">
        <v>0</v>
      </c>
      <c r="P50" s="19"/>
      <c r="Q50" s="19">
        <v>0</v>
      </c>
      <c r="R50" s="19"/>
      <c r="S50" s="19">
        <v>9.5</v>
      </c>
      <c r="T50" s="19"/>
      <c r="U50" s="19">
        <v>9.5</v>
      </c>
      <c r="V50" s="19"/>
      <c r="W50" s="19">
        <v>9.5</v>
      </c>
      <c r="X50" s="19"/>
      <c r="Y50" s="19">
        <v>9.5</v>
      </c>
      <c r="Z50" s="19"/>
      <c r="AA50" s="19">
        <v>9.5</v>
      </c>
      <c r="AB50" s="19"/>
      <c r="AC50" s="19">
        <v>9.5</v>
      </c>
      <c r="AD50" s="4"/>
      <c r="AE50" s="4"/>
      <c r="AF50" s="3"/>
      <c r="AG50" s="3">
        <v>216</v>
      </c>
    </row>
    <row r="51" spans="1:34" ht="32.4" customHeight="1" x14ac:dyDescent="0.3">
      <c r="A51" s="16" t="s">
        <v>63</v>
      </c>
      <c r="B51" s="16" t="s">
        <v>1</v>
      </c>
      <c r="C51" s="10"/>
      <c r="D51" s="3"/>
      <c r="E51" s="36">
        <v>3</v>
      </c>
      <c r="F51" s="3">
        <v>226.55</v>
      </c>
      <c r="G51" s="3">
        <v>17.66</v>
      </c>
      <c r="H51" s="3">
        <v>202.18</v>
      </c>
      <c r="I51" s="3">
        <v>15.76</v>
      </c>
      <c r="J51" s="3">
        <v>224.21</v>
      </c>
      <c r="K51" s="3">
        <v>17.48</v>
      </c>
      <c r="L51" s="3">
        <v>187.31</v>
      </c>
      <c r="M51" s="3">
        <v>14.6</v>
      </c>
      <c r="N51" s="3">
        <v>64.11</v>
      </c>
      <c r="O51" s="10">
        <v>5</v>
      </c>
      <c r="P51" s="3">
        <v>0.45</v>
      </c>
      <c r="Q51" s="3">
        <v>0.04</v>
      </c>
      <c r="R51" s="3">
        <v>0.56999999999999995</v>
      </c>
      <c r="S51" s="3">
        <v>0.04</v>
      </c>
      <c r="T51" s="3">
        <v>0.87</v>
      </c>
      <c r="U51" s="3">
        <v>7.0000000000000007E-2</v>
      </c>
      <c r="V51" s="3">
        <v>1.06</v>
      </c>
      <c r="W51" s="3">
        <v>0.08</v>
      </c>
      <c r="X51" s="3">
        <v>176.45</v>
      </c>
      <c r="Y51" s="3">
        <v>13.75</v>
      </c>
      <c r="Z51" s="3">
        <v>219.26</v>
      </c>
      <c r="AA51" s="3">
        <v>17.09</v>
      </c>
      <c r="AB51" s="3">
        <v>227.45</v>
      </c>
      <c r="AC51" s="3">
        <v>17.73</v>
      </c>
      <c r="AD51" s="4">
        <f t="shared" si="0"/>
        <v>1530.47</v>
      </c>
      <c r="AE51" s="4">
        <f t="shared" si="1"/>
        <v>119.30000000000001</v>
      </c>
      <c r="AF51" s="3">
        <v>1550</v>
      </c>
      <c r="AG51" s="3">
        <v>120</v>
      </c>
      <c r="AH51" t="s">
        <v>1</v>
      </c>
    </row>
    <row r="52" spans="1:34" s="20" customFormat="1" ht="16.5" customHeight="1" x14ac:dyDescent="0.3">
      <c r="A52" s="17" t="s">
        <v>50</v>
      </c>
      <c r="B52" s="17"/>
      <c r="C52" s="24"/>
      <c r="D52" s="19"/>
      <c r="E52" s="38"/>
      <c r="F52" s="19"/>
      <c r="G52" s="19">
        <v>0</v>
      </c>
      <c r="H52" s="19"/>
      <c r="I52" s="19">
        <f>14.03-14.03</f>
        <v>0</v>
      </c>
      <c r="J52" s="19"/>
      <c r="K52" s="19">
        <f>14.03-14.03</f>
        <v>0</v>
      </c>
      <c r="L52" s="19"/>
      <c r="M52" s="19">
        <f>14.03-14.03</f>
        <v>0</v>
      </c>
      <c r="N52" s="19"/>
      <c r="O52" s="19">
        <v>14.03</v>
      </c>
      <c r="P52" s="19"/>
      <c r="Q52" s="19">
        <v>14.03</v>
      </c>
      <c r="R52" s="19"/>
      <c r="S52" s="19">
        <v>0.02</v>
      </c>
      <c r="T52" s="19"/>
      <c r="U52" s="19">
        <v>0.03</v>
      </c>
      <c r="V52" s="19"/>
      <c r="W52" s="19">
        <v>0.04</v>
      </c>
      <c r="X52" s="19"/>
      <c r="Y52" s="19">
        <v>7.03</v>
      </c>
      <c r="Z52" s="19"/>
      <c r="AA52" s="19">
        <v>8.74</v>
      </c>
      <c r="AB52" s="19"/>
      <c r="AC52" s="19">
        <v>9.06</v>
      </c>
      <c r="AD52" s="4">
        <f t="shared" si="0"/>
        <v>0</v>
      </c>
      <c r="AE52" s="4">
        <f t="shared" si="1"/>
        <v>52.980000000000004</v>
      </c>
      <c r="AF52" s="3"/>
      <c r="AG52" s="3">
        <v>109</v>
      </c>
    </row>
    <row r="53" spans="1:34" s="20" customFormat="1" ht="17.25" customHeight="1" x14ac:dyDescent="0.3">
      <c r="A53" s="17" t="s">
        <v>64</v>
      </c>
      <c r="B53" s="17"/>
      <c r="C53" s="24"/>
      <c r="D53" s="19"/>
      <c r="E53" s="38"/>
      <c r="F53" s="19"/>
      <c r="G53" s="19">
        <v>0</v>
      </c>
      <c r="H53" s="19"/>
      <c r="I53" s="19">
        <f>8.94-8.94</f>
        <v>0</v>
      </c>
      <c r="J53" s="19"/>
      <c r="K53" s="19">
        <f>9.91-9.91</f>
        <v>0</v>
      </c>
      <c r="L53" s="19"/>
      <c r="M53" s="19">
        <f>8.28-8.28</f>
        <v>0</v>
      </c>
      <c r="N53" s="19"/>
      <c r="O53" s="19">
        <v>2.83</v>
      </c>
      <c r="P53" s="19"/>
      <c r="Q53" s="19">
        <v>0.02</v>
      </c>
      <c r="R53" s="19"/>
      <c r="S53" s="19">
        <v>14.72</v>
      </c>
      <c r="T53" s="19"/>
      <c r="U53" s="19">
        <v>14.72</v>
      </c>
      <c r="V53" s="19"/>
      <c r="W53" s="19">
        <v>14.72</v>
      </c>
      <c r="X53" s="19"/>
      <c r="Y53" s="19">
        <v>14.72</v>
      </c>
      <c r="Z53" s="19"/>
      <c r="AA53" s="19">
        <v>14.72</v>
      </c>
      <c r="AB53" s="19"/>
      <c r="AC53" s="19">
        <v>14.72</v>
      </c>
      <c r="AD53" s="4">
        <f t="shared" si="0"/>
        <v>0</v>
      </c>
      <c r="AE53" s="4">
        <f t="shared" si="1"/>
        <v>91.17</v>
      </c>
      <c r="AF53" s="3"/>
      <c r="AG53" s="3">
        <v>176</v>
      </c>
    </row>
    <row r="54" spans="1:34" ht="33.75" customHeight="1" x14ac:dyDescent="0.3">
      <c r="A54" s="16" t="s">
        <v>19</v>
      </c>
      <c r="B54" s="16" t="s">
        <v>29</v>
      </c>
      <c r="C54" s="3"/>
      <c r="D54" s="3"/>
      <c r="E54" s="34">
        <v>3</v>
      </c>
      <c r="F54" s="3">
        <v>112.52</v>
      </c>
      <c r="G54" s="3">
        <v>8.77</v>
      </c>
      <c r="H54" s="3">
        <v>113.88</v>
      </c>
      <c r="I54" s="3">
        <v>8.8800000000000008</v>
      </c>
      <c r="J54" s="3">
        <v>60.91</v>
      </c>
      <c r="K54" s="3">
        <v>4.75</v>
      </c>
      <c r="L54" s="3">
        <v>49.26</v>
      </c>
      <c r="M54" s="3">
        <v>3.84</v>
      </c>
      <c r="N54" s="3">
        <v>68.14</v>
      </c>
      <c r="O54" s="3">
        <v>5.31</v>
      </c>
      <c r="P54" s="3">
        <v>49.81</v>
      </c>
      <c r="Q54" s="3">
        <v>3.88</v>
      </c>
      <c r="R54" s="3">
        <v>42.32</v>
      </c>
      <c r="S54" s="3">
        <v>3.3</v>
      </c>
      <c r="T54" s="3">
        <v>40.56</v>
      </c>
      <c r="U54" s="3">
        <v>3.16</v>
      </c>
      <c r="V54" s="3">
        <v>52.08</v>
      </c>
      <c r="W54" s="3">
        <v>4.0599999999999996</v>
      </c>
      <c r="X54" s="3">
        <v>59.06</v>
      </c>
      <c r="Y54" s="3">
        <v>4.5999999999999996</v>
      </c>
      <c r="Z54" s="3">
        <v>54.95</v>
      </c>
      <c r="AA54" s="3">
        <v>4.28</v>
      </c>
      <c r="AB54" s="3">
        <v>63.9</v>
      </c>
      <c r="AC54" s="3">
        <v>4.9800000000000004</v>
      </c>
      <c r="AD54" s="4">
        <f t="shared" si="0"/>
        <v>767.39</v>
      </c>
      <c r="AE54" s="4">
        <f t="shared" si="1"/>
        <v>59.81</v>
      </c>
      <c r="AF54" s="3">
        <v>770</v>
      </c>
      <c r="AG54" s="3">
        <v>62</v>
      </c>
      <c r="AH54" t="s">
        <v>18</v>
      </c>
    </row>
    <row r="55" spans="1:34" s="20" customFormat="1" ht="18.75" customHeight="1" x14ac:dyDescent="0.3">
      <c r="A55" s="17" t="s">
        <v>50</v>
      </c>
      <c r="B55" s="17"/>
      <c r="C55" s="19"/>
      <c r="D55" s="19"/>
      <c r="E55" s="35"/>
      <c r="F55" s="19"/>
      <c r="G55" s="19">
        <v>0</v>
      </c>
      <c r="H55" s="19"/>
      <c r="I55" s="19">
        <f>35.07-35.07</f>
        <v>0</v>
      </c>
      <c r="J55" s="19"/>
      <c r="K55" s="19">
        <f>35.07-35.07</f>
        <v>0</v>
      </c>
      <c r="L55" s="19"/>
      <c r="M55" s="19">
        <f>35.07-35.07</f>
        <v>0</v>
      </c>
      <c r="N55" s="19"/>
      <c r="O55" s="19">
        <v>35.07</v>
      </c>
      <c r="P55" s="19"/>
      <c r="Q55" s="19">
        <v>35.07</v>
      </c>
      <c r="R55" s="19"/>
      <c r="S55" s="19">
        <v>1.69</v>
      </c>
      <c r="T55" s="19"/>
      <c r="U55" s="19">
        <v>1.62</v>
      </c>
      <c r="V55" s="19"/>
      <c r="W55" s="19">
        <v>2.08</v>
      </c>
      <c r="X55" s="19"/>
      <c r="Y55" s="19">
        <v>2.35</v>
      </c>
      <c r="Z55" s="19"/>
      <c r="AA55" s="19">
        <v>2.19</v>
      </c>
      <c r="AB55" s="19"/>
      <c r="AC55" s="19">
        <v>2.5499999999999998</v>
      </c>
      <c r="AD55" s="4">
        <f t="shared" si="0"/>
        <v>0</v>
      </c>
      <c r="AE55" s="4">
        <f t="shared" si="1"/>
        <v>82.61999999999999</v>
      </c>
      <c r="AF55" s="3"/>
      <c r="AG55" s="3">
        <v>82</v>
      </c>
    </row>
    <row r="56" spans="1:34" s="20" customFormat="1" ht="18.75" customHeight="1" x14ac:dyDescent="0.3">
      <c r="A56" s="17" t="s">
        <v>61</v>
      </c>
      <c r="B56" s="17"/>
      <c r="C56" s="19"/>
      <c r="D56" s="19"/>
      <c r="E56" s="35"/>
      <c r="F56" s="19"/>
      <c r="G56" s="19">
        <v>0</v>
      </c>
      <c r="H56" s="19"/>
      <c r="I56" s="19">
        <f>5.04-5.04</f>
        <v>0</v>
      </c>
      <c r="J56" s="19"/>
      <c r="K56" s="19">
        <f>2.69-2.69</f>
        <v>0</v>
      </c>
      <c r="L56" s="19"/>
      <c r="M56" s="19">
        <f>2.18-2.18</f>
        <v>0</v>
      </c>
      <c r="N56" s="19"/>
      <c r="O56" s="19">
        <v>3.01</v>
      </c>
      <c r="P56" s="19"/>
      <c r="Q56" s="19">
        <v>2.2000000000000002</v>
      </c>
      <c r="R56" s="19"/>
      <c r="S56" s="19">
        <v>36.799999999999997</v>
      </c>
      <c r="T56" s="19"/>
      <c r="U56" s="19">
        <v>36.799999999999997</v>
      </c>
      <c r="V56" s="19"/>
      <c r="W56" s="19">
        <v>36.799999999999997</v>
      </c>
      <c r="X56" s="19"/>
      <c r="Y56" s="19">
        <v>36.799999999999997</v>
      </c>
      <c r="Z56" s="19"/>
      <c r="AA56" s="19">
        <v>36.799999999999997</v>
      </c>
      <c r="AB56" s="19"/>
      <c r="AC56" s="19">
        <v>36.799999999999997</v>
      </c>
      <c r="AD56" s="4">
        <f t="shared" si="0"/>
        <v>0</v>
      </c>
      <c r="AE56" s="4">
        <f t="shared" si="1"/>
        <v>226.01</v>
      </c>
      <c r="AF56" s="3"/>
      <c r="AG56" s="3">
        <v>226</v>
      </c>
    </row>
    <row r="57" spans="1:34" ht="33" customHeight="1" x14ac:dyDescent="0.3">
      <c r="A57" s="16" t="s">
        <v>20</v>
      </c>
      <c r="B57" s="16" t="s">
        <v>1</v>
      </c>
      <c r="C57" s="3"/>
      <c r="D57" s="3"/>
      <c r="E57" s="34">
        <v>3</v>
      </c>
      <c r="F57" s="3">
        <v>8752.89</v>
      </c>
      <c r="G57" s="3">
        <v>682.29</v>
      </c>
      <c r="H57" s="3">
        <v>7880.72</v>
      </c>
      <c r="I57" s="3">
        <v>614.29999999999995</v>
      </c>
      <c r="J57" s="3">
        <v>8602.89</v>
      </c>
      <c r="K57" s="3">
        <v>670.6</v>
      </c>
      <c r="L57" s="3">
        <v>5919.44</v>
      </c>
      <c r="M57" s="3">
        <v>461.42</v>
      </c>
      <c r="N57" s="3">
        <v>119.36</v>
      </c>
      <c r="O57" s="3">
        <v>9.3000000000000007</v>
      </c>
      <c r="P57" s="3">
        <v>25.22</v>
      </c>
      <c r="Q57" s="3">
        <v>1.97</v>
      </c>
      <c r="R57" s="3">
        <v>26.06</v>
      </c>
      <c r="S57" s="3">
        <v>2.0299999999999998</v>
      </c>
      <c r="T57" s="3">
        <v>26.06</v>
      </c>
      <c r="U57" s="3">
        <v>2.0299999999999998</v>
      </c>
      <c r="V57" s="3">
        <v>380.03</v>
      </c>
      <c r="W57" s="3">
        <v>29.62</v>
      </c>
      <c r="X57" s="3">
        <v>6420.87</v>
      </c>
      <c r="Y57" s="3">
        <v>500.51</v>
      </c>
      <c r="Z57" s="3">
        <v>8349.64</v>
      </c>
      <c r="AA57" s="3">
        <v>650.85</v>
      </c>
      <c r="AB57" s="3">
        <v>8816.84</v>
      </c>
      <c r="AC57" s="3">
        <v>687.27</v>
      </c>
      <c r="AD57" s="4">
        <f t="shared" si="0"/>
        <v>55320.020000000004</v>
      </c>
      <c r="AE57" s="4">
        <f t="shared" si="1"/>
        <v>4312.1900000000005</v>
      </c>
      <c r="AF57" s="3">
        <v>55300</v>
      </c>
      <c r="AG57" s="3">
        <v>4320</v>
      </c>
      <c r="AH57" t="s">
        <v>1</v>
      </c>
    </row>
    <row r="58" spans="1:34" s="20" customFormat="1" ht="18" customHeight="1" x14ac:dyDescent="0.3">
      <c r="A58" s="17" t="s">
        <v>50</v>
      </c>
      <c r="B58" s="17"/>
      <c r="C58" s="19"/>
      <c r="D58" s="19"/>
      <c r="E58" s="35"/>
      <c r="F58" s="19"/>
      <c r="G58" s="19">
        <v>0</v>
      </c>
      <c r="H58" s="19"/>
      <c r="I58" s="19">
        <f>87.67-87.67</f>
        <v>0</v>
      </c>
      <c r="J58" s="19"/>
      <c r="K58" s="19">
        <f>87.67-87.67</f>
        <v>0</v>
      </c>
      <c r="L58" s="19"/>
      <c r="M58" s="19">
        <f>87.67-87.67</f>
        <v>0</v>
      </c>
      <c r="N58" s="19"/>
      <c r="O58" s="19">
        <v>87.67</v>
      </c>
      <c r="P58" s="19"/>
      <c r="Q58" s="19">
        <v>87.67</v>
      </c>
      <c r="R58" s="19"/>
      <c r="S58" s="19">
        <v>1.04</v>
      </c>
      <c r="T58" s="19"/>
      <c r="U58" s="19">
        <v>1.04</v>
      </c>
      <c r="V58" s="19"/>
      <c r="W58" s="19">
        <v>15.14</v>
      </c>
      <c r="X58" s="19"/>
      <c r="Y58" s="19">
        <v>255.87</v>
      </c>
      <c r="Z58" s="19"/>
      <c r="AA58" s="19">
        <v>332.73</v>
      </c>
      <c r="AB58" s="19"/>
      <c r="AC58" s="19">
        <v>351.35</v>
      </c>
      <c r="AD58" s="4">
        <f t="shared" si="0"/>
        <v>0</v>
      </c>
      <c r="AE58" s="4">
        <f t="shared" si="1"/>
        <v>1132.5100000000002</v>
      </c>
      <c r="AF58" s="3"/>
      <c r="AG58" s="3">
        <v>1133</v>
      </c>
    </row>
    <row r="59" spans="1:34" s="20" customFormat="1" ht="27" customHeight="1" x14ac:dyDescent="0.3">
      <c r="A59" s="17" t="s">
        <v>65</v>
      </c>
      <c r="B59" s="17"/>
      <c r="C59" s="19"/>
      <c r="D59" s="19"/>
      <c r="E59" s="35"/>
      <c r="F59" s="19"/>
      <c r="G59" s="19">
        <v>0</v>
      </c>
      <c r="H59" s="19"/>
      <c r="I59" s="19">
        <f>348.49-348.49</f>
        <v>0</v>
      </c>
      <c r="J59" s="19"/>
      <c r="K59" s="19">
        <f>380.42-380.42</f>
        <v>0</v>
      </c>
      <c r="L59" s="19"/>
      <c r="M59" s="19">
        <f>261.76-261.76</f>
        <v>0</v>
      </c>
      <c r="N59" s="19"/>
      <c r="O59" s="19">
        <v>5.28</v>
      </c>
      <c r="P59" s="19"/>
      <c r="Q59" s="19">
        <v>1.1200000000000001</v>
      </c>
      <c r="R59" s="19"/>
      <c r="S59" s="19">
        <v>92</v>
      </c>
      <c r="T59" s="19"/>
      <c r="U59" s="19">
        <v>92</v>
      </c>
      <c r="V59" s="19"/>
      <c r="W59" s="19">
        <v>92</v>
      </c>
      <c r="X59" s="19"/>
      <c r="Y59" s="19">
        <v>92</v>
      </c>
      <c r="Z59" s="19"/>
      <c r="AA59" s="19">
        <v>92</v>
      </c>
      <c r="AB59" s="19"/>
      <c r="AC59" s="19">
        <v>92</v>
      </c>
      <c r="AD59" s="4">
        <f t="shared" si="0"/>
        <v>0</v>
      </c>
      <c r="AE59" s="4">
        <f t="shared" si="1"/>
        <v>558.4</v>
      </c>
      <c r="AF59" s="3"/>
      <c r="AG59" s="3">
        <v>558</v>
      </c>
    </row>
    <row r="60" spans="1:34" ht="18" customHeight="1" x14ac:dyDescent="0.3">
      <c r="A60" s="16" t="s">
        <v>66</v>
      </c>
      <c r="B60" s="16" t="s">
        <v>34</v>
      </c>
      <c r="C60" s="3"/>
      <c r="D60" s="3"/>
      <c r="E60" s="34">
        <v>1</v>
      </c>
      <c r="F60" s="3">
        <v>225.75</v>
      </c>
      <c r="G60" s="3">
        <v>17.600000000000001</v>
      </c>
      <c r="H60" s="3">
        <v>185.11</v>
      </c>
      <c r="I60" s="3">
        <v>14.43</v>
      </c>
      <c r="J60" s="3">
        <v>200.57</v>
      </c>
      <c r="K60" s="3">
        <v>15.63</v>
      </c>
      <c r="L60" s="3">
        <v>112.52</v>
      </c>
      <c r="M60" s="3">
        <v>8.77</v>
      </c>
      <c r="N60" s="3">
        <v>56.64</v>
      </c>
      <c r="O60" s="3">
        <v>4.42</v>
      </c>
      <c r="P60" s="3">
        <v>44.48</v>
      </c>
      <c r="Q60" s="3">
        <v>3.47</v>
      </c>
      <c r="R60" s="3">
        <v>44.96</v>
      </c>
      <c r="S60" s="3">
        <v>3.5</v>
      </c>
      <c r="T60" s="3">
        <v>38.200000000000003</v>
      </c>
      <c r="U60" s="3">
        <v>2.98</v>
      </c>
      <c r="V60" s="3">
        <v>41.01</v>
      </c>
      <c r="W60" s="3">
        <v>3.2</v>
      </c>
      <c r="X60" s="3">
        <v>154.79</v>
      </c>
      <c r="Y60" s="3">
        <v>12.07</v>
      </c>
      <c r="Z60" s="3">
        <v>261</v>
      </c>
      <c r="AA60" s="3">
        <v>20.34</v>
      </c>
      <c r="AB60" s="3">
        <v>314.27999999999997</v>
      </c>
      <c r="AC60" s="3">
        <v>24.5</v>
      </c>
      <c r="AD60" s="4">
        <f t="shared" si="0"/>
        <v>1679.3100000000002</v>
      </c>
      <c r="AE60" s="4">
        <f t="shared" si="1"/>
        <v>130.91000000000003</v>
      </c>
      <c r="AF60" s="3">
        <v>1679</v>
      </c>
      <c r="AG60" s="3">
        <v>131</v>
      </c>
      <c r="AH60" t="s">
        <v>54</v>
      </c>
    </row>
    <row r="61" spans="1:34" s="20" customFormat="1" ht="18" customHeight="1" x14ac:dyDescent="0.3">
      <c r="A61" s="17" t="s">
        <v>50</v>
      </c>
      <c r="B61" s="17"/>
      <c r="C61" s="19"/>
      <c r="D61" s="19"/>
      <c r="E61" s="35"/>
      <c r="F61" s="19"/>
      <c r="G61" s="19">
        <v>0</v>
      </c>
      <c r="H61" s="19"/>
      <c r="I61" s="19">
        <f>8.79-8.79</f>
        <v>0</v>
      </c>
      <c r="J61" s="19"/>
      <c r="K61" s="19">
        <f>9.42-9.42</f>
        <v>0</v>
      </c>
      <c r="L61" s="19"/>
      <c r="M61" s="19">
        <f>5.83-5.83</f>
        <v>0</v>
      </c>
      <c r="N61" s="19"/>
      <c r="O61" s="19">
        <v>3.55</v>
      </c>
      <c r="P61" s="19"/>
      <c r="Q61" s="19">
        <v>3.05</v>
      </c>
      <c r="R61" s="19"/>
      <c r="S61" s="19">
        <v>1.79</v>
      </c>
      <c r="T61" s="19"/>
      <c r="U61" s="19">
        <v>1.52</v>
      </c>
      <c r="V61" s="19"/>
      <c r="W61" s="19">
        <v>1.63</v>
      </c>
      <c r="X61" s="19"/>
      <c r="Y61" s="19">
        <v>6.17</v>
      </c>
      <c r="Z61" s="19"/>
      <c r="AA61" s="19">
        <v>10.4</v>
      </c>
      <c r="AB61" s="19"/>
      <c r="AC61" s="19">
        <v>12.52</v>
      </c>
      <c r="AD61" s="4">
        <f t="shared" si="0"/>
        <v>0</v>
      </c>
      <c r="AE61" s="4">
        <f t="shared" si="1"/>
        <v>40.629999999999995</v>
      </c>
      <c r="AF61" s="3"/>
      <c r="AG61" s="3">
        <v>41</v>
      </c>
    </row>
    <row r="62" spans="1:34" s="20" customFormat="1" ht="18" customHeight="1" x14ac:dyDescent="0.3">
      <c r="A62" s="17" t="s">
        <v>58</v>
      </c>
      <c r="B62" s="17"/>
      <c r="C62" s="19"/>
      <c r="D62" s="19"/>
      <c r="E62" s="35"/>
      <c r="F62" s="19"/>
      <c r="G62" s="19">
        <v>0</v>
      </c>
      <c r="H62" s="19"/>
      <c r="I62" s="19">
        <v>0</v>
      </c>
      <c r="J62" s="19"/>
      <c r="K62" s="19">
        <v>0</v>
      </c>
      <c r="L62" s="19"/>
      <c r="M62" s="19">
        <v>0</v>
      </c>
      <c r="N62" s="19"/>
      <c r="O62" s="19">
        <v>0</v>
      </c>
      <c r="P62" s="19"/>
      <c r="Q62" s="19">
        <v>0</v>
      </c>
      <c r="R62" s="19"/>
      <c r="S62" s="19">
        <v>7.6</v>
      </c>
      <c r="T62" s="19"/>
      <c r="U62" s="19">
        <v>7.6</v>
      </c>
      <c r="V62" s="19"/>
      <c r="W62" s="19">
        <v>7.6</v>
      </c>
      <c r="X62" s="19"/>
      <c r="Y62" s="19">
        <v>7.6</v>
      </c>
      <c r="Z62" s="19"/>
      <c r="AA62" s="19">
        <v>7.6</v>
      </c>
      <c r="AB62" s="19"/>
      <c r="AC62" s="19">
        <v>7.6</v>
      </c>
      <c r="AD62" s="4"/>
      <c r="AE62" s="4"/>
      <c r="AF62" s="3"/>
      <c r="AG62" s="3"/>
    </row>
    <row r="63" spans="1:34" ht="32.25" customHeight="1" x14ac:dyDescent="0.3">
      <c r="A63" s="16" t="s">
        <v>67</v>
      </c>
      <c r="B63" s="16" t="s">
        <v>1</v>
      </c>
      <c r="C63" s="3"/>
      <c r="D63" s="3"/>
      <c r="E63" s="34">
        <v>1</v>
      </c>
      <c r="F63" s="3">
        <v>524.61</v>
      </c>
      <c r="G63" s="3">
        <v>40.89</v>
      </c>
      <c r="H63" s="3">
        <v>481.26</v>
      </c>
      <c r="I63" s="3">
        <v>37.51</v>
      </c>
      <c r="J63" s="3">
        <v>505.77</v>
      </c>
      <c r="K63" s="3">
        <v>39.42</v>
      </c>
      <c r="L63" s="3">
        <v>320.67</v>
      </c>
      <c r="M63" s="3">
        <v>25</v>
      </c>
      <c r="N63" s="3">
        <v>5.12</v>
      </c>
      <c r="O63" s="3">
        <v>0.4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0.02</v>
      </c>
      <c r="W63" s="3">
        <v>0</v>
      </c>
      <c r="X63" s="3">
        <v>377.54</v>
      </c>
      <c r="Y63" s="3">
        <v>29.43</v>
      </c>
      <c r="Z63" s="3">
        <v>504.91</v>
      </c>
      <c r="AA63" s="3">
        <v>39.36</v>
      </c>
      <c r="AB63" s="3">
        <v>540.20000000000005</v>
      </c>
      <c r="AC63" s="3">
        <v>42.11</v>
      </c>
      <c r="AD63" s="4">
        <f t="shared" si="0"/>
        <v>3260.0999999999995</v>
      </c>
      <c r="AE63" s="4">
        <f t="shared" si="1"/>
        <v>254.12</v>
      </c>
      <c r="AF63" s="3">
        <v>3260</v>
      </c>
      <c r="AG63" s="3">
        <v>254</v>
      </c>
      <c r="AH63" t="s">
        <v>1</v>
      </c>
    </row>
    <row r="64" spans="1:34" ht="18" customHeight="1" x14ac:dyDescent="0.3">
      <c r="A64" s="17" t="s">
        <v>50</v>
      </c>
      <c r="B64" s="16"/>
      <c r="C64" s="3"/>
      <c r="D64" s="3"/>
      <c r="E64" s="3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v>0</v>
      </c>
      <c r="T64" s="3"/>
      <c r="U64" s="3">
        <v>0</v>
      </c>
      <c r="V64" s="3"/>
      <c r="W64" s="3">
        <v>0</v>
      </c>
      <c r="X64" s="3"/>
      <c r="Y64" s="3">
        <v>15.04</v>
      </c>
      <c r="Z64" s="3"/>
      <c r="AA64" s="3">
        <v>20.12</v>
      </c>
      <c r="AB64" s="3"/>
      <c r="AC64" s="3">
        <v>21.53</v>
      </c>
      <c r="AD64" s="4"/>
      <c r="AE64" s="4"/>
      <c r="AF64" s="3"/>
      <c r="AG64" s="3">
        <v>258</v>
      </c>
    </row>
    <row r="65" spans="1:34" s="20" customFormat="1" ht="20.25" customHeight="1" x14ac:dyDescent="0.3">
      <c r="A65" s="17" t="s">
        <v>58</v>
      </c>
      <c r="B65" s="17"/>
      <c r="C65" s="19"/>
      <c r="D65" s="19"/>
      <c r="E65" s="35"/>
      <c r="F65" s="19"/>
      <c r="G65" s="19">
        <v>0</v>
      </c>
      <c r="H65" s="19"/>
      <c r="I65" s="19">
        <f>20.86-20.86</f>
        <v>0</v>
      </c>
      <c r="J65" s="19"/>
      <c r="K65" s="19">
        <f>1.24-1.24</f>
        <v>0</v>
      </c>
      <c r="L65" s="19"/>
      <c r="M65" s="19">
        <f>14.31-14.31</f>
        <v>0</v>
      </c>
      <c r="N65" s="19"/>
      <c r="O65" s="19">
        <v>1.45</v>
      </c>
      <c r="P65" s="19"/>
      <c r="Q65" s="19">
        <v>1.24</v>
      </c>
      <c r="R65" s="19"/>
      <c r="S65" s="19">
        <v>7.6</v>
      </c>
      <c r="T65" s="19"/>
      <c r="U65" s="19">
        <v>7.6</v>
      </c>
      <c r="V65" s="19"/>
      <c r="W65" s="19">
        <v>7.6</v>
      </c>
      <c r="X65" s="19"/>
      <c r="Y65" s="19">
        <v>7.6</v>
      </c>
      <c r="Z65" s="19"/>
      <c r="AA65" s="19">
        <v>7.6</v>
      </c>
      <c r="AB65" s="19"/>
      <c r="AC65" s="19">
        <v>7.6</v>
      </c>
      <c r="AD65" s="4">
        <f t="shared" si="0"/>
        <v>0</v>
      </c>
      <c r="AE65" s="4">
        <f t="shared" si="1"/>
        <v>48.290000000000006</v>
      </c>
      <c r="AF65" s="3"/>
      <c r="AG65" s="3">
        <v>48</v>
      </c>
    </row>
    <row r="66" spans="1:34" ht="33" customHeight="1" x14ac:dyDescent="0.3">
      <c r="A66" s="16" t="s">
        <v>69</v>
      </c>
      <c r="B66" s="16" t="s">
        <v>1</v>
      </c>
      <c r="C66" s="3"/>
      <c r="D66" s="3"/>
      <c r="E66" s="34">
        <v>1</v>
      </c>
      <c r="F66" s="3">
        <v>567.65</v>
      </c>
      <c r="G66" s="3">
        <v>44.25</v>
      </c>
      <c r="H66" s="3">
        <v>512.71</v>
      </c>
      <c r="I66" s="3">
        <v>39.97</v>
      </c>
      <c r="J66" s="3">
        <v>540.44000000000005</v>
      </c>
      <c r="K66" s="3">
        <v>42.13</v>
      </c>
      <c r="L66" s="3">
        <v>341.91</v>
      </c>
      <c r="M66" s="3">
        <v>26.65</v>
      </c>
      <c r="N66" s="3">
        <v>5.56</v>
      </c>
      <c r="O66" s="3">
        <v>0.43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397.87</v>
      </c>
      <c r="Y66" s="3">
        <v>31.01</v>
      </c>
      <c r="Z66" s="3">
        <v>528.25</v>
      </c>
      <c r="AA66" s="3">
        <v>41.18</v>
      </c>
      <c r="AB66" s="3">
        <v>569.59</v>
      </c>
      <c r="AC66" s="3">
        <v>44.4</v>
      </c>
      <c r="AD66" s="4">
        <f t="shared" si="0"/>
        <v>3463.9800000000005</v>
      </c>
      <c r="AE66" s="4">
        <f t="shared" si="1"/>
        <v>270.02</v>
      </c>
      <c r="AF66" s="3">
        <v>3500</v>
      </c>
      <c r="AG66" s="3">
        <v>280</v>
      </c>
      <c r="AH66" t="s">
        <v>1</v>
      </c>
    </row>
    <row r="67" spans="1:34" ht="18" customHeight="1" x14ac:dyDescent="0.3">
      <c r="A67" s="17" t="s">
        <v>50</v>
      </c>
      <c r="B67" s="16"/>
      <c r="C67" s="3"/>
      <c r="D67" s="3"/>
      <c r="E67" s="3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>
        <v>0</v>
      </c>
      <c r="T67" s="3"/>
      <c r="U67" s="3">
        <v>0</v>
      </c>
      <c r="V67" s="3"/>
      <c r="W67" s="3">
        <v>0</v>
      </c>
      <c r="X67" s="3"/>
      <c r="Y67" s="3">
        <v>15.86</v>
      </c>
      <c r="Z67" s="3"/>
      <c r="AA67" s="3">
        <v>21.05</v>
      </c>
      <c r="AB67" s="3"/>
      <c r="AC67" s="3">
        <v>22.7</v>
      </c>
      <c r="AD67" s="4"/>
      <c r="AE67" s="4"/>
      <c r="AF67" s="3"/>
      <c r="AG67" s="3">
        <v>272</v>
      </c>
    </row>
    <row r="68" spans="1:34" s="20" customFormat="1" ht="19.5" customHeight="1" x14ac:dyDescent="0.3">
      <c r="A68" s="17" t="s">
        <v>58</v>
      </c>
      <c r="B68" s="17"/>
      <c r="C68" s="19"/>
      <c r="D68" s="19"/>
      <c r="E68" s="35"/>
      <c r="F68" s="19"/>
      <c r="G68" s="19">
        <v>0</v>
      </c>
      <c r="H68" s="19"/>
      <c r="I68" s="19">
        <f>22.14-22.14</f>
        <v>0</v>
      </c>
      <c r="J68" s="19"/>
      <c r="K68" s="19">
        <f>23.27-23.27</f>
        <v>0</v>
      </c>
      <c r="L68" s="19"/>
      <c r="M68" s="19">
        <f>15.18-15.18</f>
        <v>0</v>
      </c>
      <c r="N68" s="19"/>
      <c r="O68" s="19">
        <v>1.47</v>
      </c>
      <c r="P68" s="19"/>
      <c r="Q68" s="19">
        <v>1.24</v>
      </c>
      <c r="R68" s="19"/>
      <c r="S68" s="19">
        <v>7.6</v>
      </c>
      <c r="T68" s="19"/>
      <c r="U68" s="19">
        <v>7.6</v>
      </c>
      <c r="V68" s="19"/>
      <c r="W68" s="19">
        <v>7.6</v>
      </c>
      <c r="X68" s="19"/>
      <c r="Y68" s="19">
        <v>7.6</v>
      </c>
      <c r="Z68" s="19"/>
      <c r="AA68" s="19">
        <v>7.6</v>
      </c>
      <c r="AB68" s="19"/>
      <c r="AC68" s="19">
        <v>7.6</v>
      </c>
      <c r="AD68" s="4">
        <f t="shared" si="0"/>
        <v>0</v>
      </c>
      <c r="AE68" s="4">
        <f t="shared" si="1"/>
        <v>48.31</v>
      </c>
      <c r="AF68" s="3"/>
      <c r="AG68" s="3">
        <v>48</v>
      </c>
    </row>
    <row r="69" spans="1:34" ht="28.8" x14ac:dyDescent="0.3">
      <c r="A69" s="16" t="s">
        <v>68</v>
      </c>
      <c r="B69" s="16" t="s">
        <v>1</v>
      </c>
      <c r="C69" s="3"/>
      <c r="D69" s="10"/>
      <c r="E69" s="34">
        <v>1</v>
      </c>
      <c r="F69" s="3">
        <v>534.53</v>
      </c>
      <c r="G69" s="3">
        <v>41.67</v>
      </c>
      <c r="H69" s="3">
        <v>471.21</v>
      </c>
      <c r="I69" s="3">
        <v>36.729999999999997</v>
      </c>
      <c r="J69" s="3">
        <v>508.13</v>
      </c>
      <c r="K69" s="3">
        <v>39.61</v>
      </c>
      <c r="L69" s="3">
        <v>321.56</v>
      </c>
      <c r="M69" s="3">
        <v>25.07</v>
      </c>
      <c r="N69" s="3">
        <v>5.21</v>
      </c>
      <c r="O69" s="3">
        <v>0.41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369.88</v>
      </c>
      <c r="Y69" s="3">
        <v>28.83</v>
      </c>
      <c r="Z69" s="3">
        <v>493.18</v>
      </c>
      <c r="AA69" s="3">
        <v>38.44</v>
      </c>
      <c r="AB69" s="3">
        <v>522.4</v>
      </c>
      <c r="AC69" s="3">
        <v>40.72</v>
      </c>
      <c r="AD69" s="4">
        <f t="shared" si="0"/>
        <v>3226.1</v>
      </c>
      <c r="AE69" s="4">
        <f t="shared" si="1"/>
        <v>251.48</v>
      </c>
      <c r="AF69" s="3">
        <v>3250</v>
      </c>
      <c r="AG69" s="3">
        <v>270</v>
      </c>
      <c r="AH69" t="s">
        <v>1</v>
      </c>
    </row>
    <row r="70" spans="1:34" x14ac:dyDescent="0.3">
      <c r="A70" s="17" t="s">
        <v>50</v>
      </c>
      <c r="B70" s="16"/>
      <c r="C70" s="3"/>
      <c r="D70" s="10"/>
      <c r="E70" s="3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>
        <v>0</v>
      </c>
      <c r="T70" s="3"/>
      <c r="U70" s="3">
        <v>0</v>
      </c>
      <c r="V70" s="3"/>
      <c r="W70" s="3">
        <v>0</v>
      </c>
      <c r="X70" s="3"/>
      <c r="Y70" s="3">
        <v>14.74</v>
      </c>
      <c r="Z70" s="3"/>
      <c r="AA70" s="3">
        <v>19.649999999999999</v>
      </c>
      <c r="AB70" s="3"/>
      <c r="AC70" s="3">
        <v>20.82</v>
      </c>
      <c r="AD70" s="4"/>
      <c r="AE70" s="4"/>
      <c r="AF70" s="3"/>
      <c r="AG70" s="3"/>
    </row>
    <row r="71" spans="1:34" s="20" customFormat="1" ht="18" customHeight="1" x14ac:dyDescent="0.3">
      <c r="A71" s="17" t="s">
        <v>58</v>
      </c>
      <c r="B71" s="17"/>
      <c r="C71" s="19"/>
      <c r="D71" s="24"/>
      <c r="E71" s="35"/>
      <c r="F71" s="19"/>
      <c r="G71" s="19">
        <v>0</v>
      </c>
      <c r="H71" s="19"/>
      <c r="I71" s="19">
        <f>20.45-20.45</f>
        <v>0</v>
      </c>
      <c r="J71" s="19"/>
      <c r="K71" s="19">
        <f>21.95-21.95</f>
        <v>0</v>
      </c>
      <c r="L71" s="19"/>
      <c r="M71" s="19">
        <f>14.35-14.35</f>
        <v>0</v>
      </c>
      <c r="N71" s="19"/>
      <c r="O71" s="19">
        <v>1.45</v>
      </c>
      <c r="P71" s="19"/>
      <c r="Q71" s="19">
        <v>1.24</v>
      </c>
      <c r="R71" s="19"/>
      <c r="S71" s="19">
        <v>7.6</v>
      </c>
      <c r="T71" s="19"/>
      <c r="U71" s="19">
        <v>7.6</v>
      </c>
      <c r="V71" s="19"/>
      <c r="W71" s="19">
        <v>7.6</v>
      </c>
      <c r="X71" s="19"/>
      <c r="Y71" s="19">
        <v>7.6</v>
      </c>
      <c r="Z71" s="19"/>
      <c r="AA71" s="19">
        <v>7.6</v>
      </c>
      <c r="AB71" s="19"/>
      <c r="AC71" s="19">
        <v>7.6</v>
      </c>
      <c r="AD71" s="4">
        <f t="shared" si="0"/>
        <v>0</v>
      </c>
      <c r="AE71" s="4">
        <f t="shared" si="1"/>
        <v>48.290000000000006</v>
      </c>
      <c r="AF71" s="3"/>
      <c r="AG71" s="3">
        <v>48</v>
      </c>
    </row>
    <row r="72" spans="1:34" ht="18.75" customHeight="1" x14ac:dyDescent="0.3">
      <c r="A72" s="4" t="s">
        <v>21</v>
      </c>
      <c r="B72" s="4" t="s">
        <v>34</v>
      </c>
      <c r="C72" s="6"/>
      <c r="D72" s="6"/>
      <c r="E72" s="34">
        <v>3</v>
      </c>
      <c r="F72" s="3">
        <v>5.66</v>
      </c>
      <c r="G72" s="3">
        <v>0.44</v>
      </c>
      <c r="H72" s="3">
        <v>6.71</v>
      </c>
      <c r="I72" s="3">
        <v>0.52</v>
      </c>
      <c r="J72" s="3">
        <v>9.5500000000000007</v>
      </c>
      <c r="K72" s="3">
        <v>0.74</v>
      </c>
      <c r="L72" s="3">
        <v>11.39</v>
      </c>
      <c r="M72" s="3">
        <v>0.89</v>
      </c>
      <c r="N72" s="3">
        <v>14.58</v>
      </c>
      <c r="O72" s="3">
        <v>1.1399999999999999</v>
      </c>
      <c r="P72" s="3">
        <v>16.809999999999999</v>
      </c>
      <c r="Q72" s="3">
        <v>1.31</v>
      </c>
      <c r="R72" s="3">
        <v>9.89</v>
      </c>
      <c r="S72" s="3">
        <v>0.77</v>
      </c>
      <c r="T72" s="3">
        <v>9.65</v>
      </c>
      <c r="U72" s="3">
        <v>0.75</v>
      </c>
      <c r="V72" s="3">
        <v>11.76</v>
      </c>
      <c r="W72" s="3">
        <v>0.92</v>
      </c>
      <c r="X72" s="3">
        <v>9.41</v>
      </c>
      <c r="Y72" s="3">
        <v>0.73</v>
      </c>
      <c r="Z72" s="3">
        <v>7.87</v>
      </c>
      <c r="AA72" s="3">
        <v>0.61</v>
      </c>
      <c r="AB72" s="3">
        <v>7.61</v>
      </c>
      <c r="AC72" s="3">
        <v>0.59</v>
      </c>
      <c r="AD72" s="4">
        <f t="shared" si="0"/>
        <v>120.89000000000001</v>
      </c>
      <c r="AE72" s="4">
        <f t="shared" si="1"/>
        <v>9.4099999999999984</v>
      </c>
      <c r="AF72" s="3">
        <v>121</v>
      </c>
      <c r="AG72" s="3">
        <v>10</v>
      </c>
      <c r="AH72" s="15" t="s">
        <v>11</v>
      </c>
    </row>
    <row r="73" spans="1:34" s="20" customFormat="1" ht="18.75" customHeight="1" x14ac:dyDescent="0.3">
      <c r="A73" s="17" t="s">
        <v>50</v>
      </c>
      <c r="B73" s="17"/>
      <c r="C73" s="21"/>
      <c r="D73" s="22"/>
      <c r="E73" s="35"/>
      <c r="F73" s="19"/>
      <c r="G73" s="19">
        <v>0</v>
      </c>
      <c r="H73" s="19"/>
      <c r="I73" s="19">
        <f>14.03-14.03</f>
        <v>0</v>
      </c>
      <c r="J73" s="19"/>
      <c r="K73" s="19">
        <f>14.03-14.03</f>
        <v>0</v>
      </c>
      <c r="L73" s="19"/>
      <c r="M73" s="19">
        <f>14.03-14.03</f>
        <v>0</v>
      </c>
      <c r="N73" s="19"/>
      <c r="O73" s="19">
        <v>14.03</v>
      </c>
      <c r="P73" s="19"/>
      <c r="Q73" s="19">
        <v>14.03</v>
      </c>
      <c r="R73" s="19"/>
      <c r="S73" s="19">
        <v>0.39</v>
      </c>
      <c r="T73" s="19"/>
      <c r="U73" s="19">
        <v>0.38</v>
      </c>
      <c r="V73" s="19"/>
      <c r="W73" s="19">
        <v>0.47</v>
      </c>
      <c r="X73" s="19"/>
      <c r="Y73" s="19">
        <v>0.37</v>
      </c>
      <c r="Z73" s="19"/>
      <c r="AA73" s="19">
        <v>0.31</v>
      </c>
      <c r="AB73" s="19"/>
      <c r="AC73" s="19">
        <v>0.3</v>
      </c>
      <c r="AD73" s="4">
        <f t="shared" si="0"/>
        <v>0</v>
      </c>
      <c r="AE73" s="4">
        <f t="shared" si="1"/>
        <v>30.279999999999998</v>
      </c>
      <c r="AF73" s="3"/>
      <c r="AG73" s="3">
        <v>30</v>
      </c>
      <c r="AH73" s="23"/>
    </row>
    <row r="74" spans="1:34" s="20" customFormat="1" ht="18.75" customHeight="1" x14ac:dyDescent="0.3">
      <c r="A74" s="17" t="s">
        <v>64</v>
      </c>
      <c r="B74" s="17"/>
      <c r="C74" s="21"/>
      <c r="D74" s="22"/>
      <c r="E74" s="35"/>
      <c r="F74" s="19"/>
      <c r="G74" s="19">
        <v>0</v>
      </c>
      <c r="H74" s="19"/>
      <c r="I74" s="19">
        <f>0.3-0.3</f>
        <v>0</v>
      </c>
      <c r="J74" s="19"/>
      <c r="K74" s="19">
        <f>0.42-0.42</f>
        <v>0</v>
      </c>
      <c r="L74" s="19"/>
      <c r="M74" s="19">
        <f>0.5-0.5</f>
        <v>0</v>
      </c>
      <c r="N74" s="19"/>
      <c r="O74" s="19">
        <v>0.64</v>
      </c>
      <c r="P74" s="19"/>
      <c r="Q74" s="19">
        <v>0.74</v>
      </c>
      <c r="R74" s="19"/>
      <c r="S74" s="19">
        <v>14.72</v>
      </c>
      <c r="T74" s="19"/>
      <c r="U74" s="19">
        <v>14.72</v>
      </c>
      <c r="V74" s="19"/>
      <c r="W74" s="19">
        <v>14.72</v>
      </c>
      <c r="X74" s="19"/>
      <c r="Y74" s="19">
        <v>14.72</v>
      </c>
      <c r="Z74" s="19"/>
      <c r="AA74" s="19">
        <v>14.72</v>
      </c>
      <c r="AB74" s="19"/>
      <c r="AC74" s="19">
        <v>14.72</v>
      </c>
      <c r="AD74" s="4">
        <f t="shared" si="0"/>
        <v>0</v>
      </c>
      <c r="AE74" s="4">
        <f t="shared" si="1"/>
        <v>89.7</v>
      </c>
      <c r="AF74" s="3"/>
      <c r="AG74" s="3">
        <v>90</v>
      </c>
      <c r="AH74" s="23"/>
    </row>
    <row r="75" spans="1:34" ht="33" customHeight="1" x14ac:dyDescent="0.3">
      <c r="A75" s="16" t="s">
        <v>22</v>
      </c>
      <c r="B75" s="16" t="s">
        <v>1</v>
      </c>
      <c r="C75" s="3"/>
      <c r="D75" s="3"/>
      <c r="E75" s="34">
        <v>3</v>
      </c>
      <c r="F75" s="3">
        <v>317.74</v>
      </c>
      <c r="G75" s="3">
        <v>24.77</v>
      </c>
      <c r="H75" s="3">
        <v>285.66000000000003</v>
      </c>
      <c r="I75" s="3">
        <v>22.27</v>
      </c>
      <c r="J75" s="3">
        <v>312.06</v>
      </c>
      <c r="K75" s="3">
        <v>24.33</v>
      </c>
      <c r="L75" s="3">
        <v>204.3</v>
      </c>
      <c r="M75" s="3">
        <v>15.93</v>
      </c>
      <c r="N75" s="3">
        <v>3.54</v>
      </c>
      <c r="O75" s="3">
        <v>0.28000000000000003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0.02</v>
      </c>
      <c r="W75" s="3">
        <v>0</v>
      </c>
      <c r="X75" s="3">
        <v>229.93</v>
      </c>
      <c r="Y75" s="3">
        <v>17.920000000000002</v>
      </c>
      <c r="Z75" s="3">
        <v>303.24</v>
      </c>
      <c r="AA75" s="3">
        <v>23.64</v>
      </c>
      <c r="AB75" s="3">
        <v>317.33999999999997</v>
      </c>
      <c r="AC75" s="3">
        <v>24.74</v>
      </c>
      <c r="AD75" s="4">
        <f t="shared" si="0"/>
        <v>1973.83</v>
      </c>
      <c r="AE75" s="4">
        <f t="shared" si="1"/>
        <v>153.88000000000002</v>
      </c>
      <c r="AF75" s="3">
        <v>2100</v>
      </c>
      <c r="AG75" s="3">
        <v>163</v>
      </c>
      <c r="AH75" t="s">
        <v>1</v>
      </c>
    </row>
    <row r="76" spans="1:34" s="20" customFormat="1" ht="20.25" customHeight="1" x14ac:dyDescent="0.3">
      <c r="A76" s="17" t="s">
        <v>50</v>
      </c>
      <c r="B76" s="17"/>
      <c r="C76" s="19"/>
      <c r="D76" s="19"/>
      <c r="E76" s="35"/>
      <c r="F76" s="19"/>
      <c r="G76" s="19">
        <v>0</v>
      </c>
      <c r="H76" s="19"/>
      <c r="I76" s="19">
        <f>14.03-14.03</f>
        <v>0</v>
      </c>
      <c r="J76" s="19"/>
      <c r="K76" s="19">
        <f>14.03-14.03</f>
        <v>0</v>
      </c>
      <c r="L76" s="19"/>
      <c r="M76" s="19">
        <f>14.03-14.03</f>
        <v>0</v>
      </c>
      <c r="N76" s="19"/>
      <c r="O76" s="19">
        <v>14.03</v>
      </c>
      <c r="P76" s="19"/>
      <c r="Q76" s="19">
        <v>14.03</v>
      </c>
      <c r="R76" s="19"/>
      <c r="S76" s="19">
        <v>0</v>
      </c>
      <c r="T76" s="19"/>
      <c r="U76" s="19">
        <v>0</v>
      </c>
      <c r="V76" s="19"/>
      <c r="W76" s="19">
        <v>0</v>
      </c>
      <c r="X76" s="19"/>
      <c r="Y76" s="19">
        <v>9.16</v>
      </c>
      <c r="Z76" s="19"/>
      <c r="AA76" s="19">
        <v>12.08</v>
      </c>
      <c r="AB76" s="19"/>
      <c r="AC76" s="19">
        <v>12.65</v>
      </c>
      <c r="AD76" s="4">
        <f t="shared" si="0"/>
        <v>0</v>
      </c>
      <c r="AE76" s="4">
        <f t="shared" si="1"/>
        <v>61.949999999999996</v>
      </c>
      <c r="AF76" s="3"/>
      <c r="AG76" s="3">
        <v>62</v>
      </c>
    </row>
    <row r="77" spans="1:34" s="20" customFormat="1" ht="20.25" customHeight="1" x14ac:dyDescent="0.3">
      <c r="A77" s="17" t="s">
        <v>64</v>
      </c>
      <c r="B77" s="17"/>
      <c r="C77" s="19"/>
      <c r="D77" s="19"/>
      <c r="E77" s="35"/>
      <c r="F77" s="19"/>
      <c r="G77" s="19">
        <v>0</v>
      </c>
      <c r="H77" s="19"/>
      <c r="I77" s="19">
        <f>12.63-12.63</f>
        <v>0</v>
      </c>
      <c r="J77" s="19"/>
      <c r="K77" s="19">
        <f>13.8-13.8</f>
        <v>0</v>
      </c>
      <c r="L77" s="19"/>
      <c r="M77" s="19">
        <f>9.03-9.03</f>
        <v>0</v>
      </c>
      <c r="N77" s="19"/>
      <c r="O77" s="19">
        <v>0.16</v>
      </c>
      <c r="P77" s="19"/>
      <c r="Q77" s="19">
        <v>0</v>
      </c>
      <c r="R77" s="19"/>
      <c r="S77" s="19">
        <v>14.72</v>
      </c>
      <c r="T77" s="19"/>
      <c r="U77" s="19">
        <v>14.72</v>
      </c>
      <c r="V77" s="19"/>
      <c r="W77" s="19">
        <v>14.72</v>
      </c>
      <c r="X77" s="19"/>
      <c r="Y77" s="19">
        <v>14.72</v>
      </c>
      <c r="Z77" s="19"/>
      <c r="AA77" s="19">
        <v>14.72</v>
      </c>
      <c r="AB77" s="19"/>
      <c r="AC77" s="19">
        <v>14.72</v>
      </c>
      <c r="AD77" s="4">
        <f t="shared" si="0"/>
        <v>0</v>
      </c>
      <c r="AE77" s="4">
        <f t="shared" si="1"/>
        <v>88.48</v>
      </c>
      <c r="AF77" s="3"/>
      <c r="AG77" s="3">
        <v>88</v>
      </c>
    </row>
    <row r="78" spans="1:34" ht="32.25" customHeight="1" x14ac:dyDescent="0.3">
      <c r="A78" s="16" t="s">
        <v>23</v>
      </c>
      <c r="B78" s="16" t="s">
        <v>1</v>
      </c>
      <c r="C78" s="3"/>
      <c r="D78" s="3"/>
      <c r="E78" s="34">
        <v>3</v>
      </c>
      <c r="F78" s="3">
        <v>322.91000000000003</v>
      </c>
      <c r="G78" s="3">
        <v>25.17</v>
      </c>
      <c r="H78" s="3">
        <v>287.04000000000002</v>
      </c>
      <c r="I78" s="3">
        <v>22.37</v>
      </c>
      <c r="J78" s="3">
        <v>319.22000000000003</v>
      </c>
      <c r="K78" s="3">
        <v>24.88</v>
      </c>
      <c r="L78" s="3">
        <v>210.44</v>
      </c>
      <c r="M78" s="3">
        <v>16.399999999999999</v>
      </c>
      <c r="N78" s="3">
        <v>3.73</v>
      </c>
      <c r="O78" s="3">
        <v>0.28999999999999998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232.48</v>
      </c>
      <c r="Y78" s="3">
        <v>18.12</v>
      </c>
      <c r="Z78" s="3">
        <v>310.92</v>
      </c>
      <c r="AA78" s="3">
        <v>24.24</v>
      </c>
      <c r="AB78" s="3">
        <v>319.7</v>
      </c>
      <c r="AC78" s="3">
        <v>24.92</v>
      </c>
      <c r="AD78" s="4">
        <f t="shared" si="0"/>
        <v>2006.4400000000003</v>
      </c>
      <c r="AE78" s="4">
        <f t="shared" si="1"/>
        <v>156.38999999999999</v>
      </c>
      <c r="AF78" s="3">
        <v>2100</v>
      </c>
      <c r="AG78" s="3">
        <v>163</v>
      </c>
      <c r="AH78" t="s">
        <v>1</v>
      </c>
    </row>
    <row r="79" spans="1:34" s="20" customFormat="1" ht="20.25" customHeight="1" x14ac:dyDescent="0.3">
      <c r="A79" s="17" t="s">
        <v>50</v>
      </c>
      <c r="B79" s="17"/>
      <c r="C79" s="19"/>
      <c r="D79" s="19"/>
      <c r="E79" s="35"/>
      <c r="F79" s="19"/>
      <c r="G79" s="19">
        <v>0</v>
      </c>
      <c r="H79" s="19"/>
      <c r="I79" s="19">
        <f>14.03-14.03</f>
        <v>0</v>
      </c>
      <c r="J79" s="19"/>
      <c r="K79" s="19">
        <f>14.03-14.03</f>
        <v>0</v>
      </c>
      <c r="L79" s="19"/>
      <c r="M79" s="19">
        <f>14.03-14.03</f>
        <v>0</v>
      </c>
      <c r="N79" s="19"/>
      <c r="O79" s="19">
        <v>14.03</v>
      </c>
      <c r="P79" s="19"/>
      <c r="Q79" s="19">
        <v>14.03</v>
      </c>
      <c r="R79" s="19"/>
      <c r="S79" s="19">
        <v>0</v>
      </c>
      <c r="T79" s="19"/>
      <c r="U79" s="19">
        <v>0</v>
      </c>
      <c r="V79" s="19"/>
      <c r="W79" s="19">
        <v>0</v>
      </c>
      <c r="X79" s="19"/>
      <c r="Y79" s="19">
        <v>9.26</v>
      </c>
      <c r="Z79" s="19"/>
      <c r="AA79" s="19">
        <v>12.39</v>
      </c>
      <c r="AB79" s="19"/>
      <c r="AC79" s="19">
        <v>12.74</v>
      </c>
      <c r="AD79" s="4">
        <f t="shared" si="0"/>
        <v>0</v>
      </c>
      <c r="AE79" s="4">
        <f t="shared" si="1"/>
        <v>62.45</v>
      </c>
      <c r="AF79" s="3"/>
      <c r="AG79" s="3">
        <v>34</v>
      </c>
    </row>
    <row r="80" spans="1:34" s="20" customFormat="1" ht="20.25" customHeight="1" x14ac:dyDescent="0.3">
      <c r="A80" s="17" t="s">
        <v>64</v>
      </c>
      <c r="B80" s="17"/>
      <c r="C80" s="19"/>
      <c r="D80" s="19"/>
      <c r="E80" s="35"/>
      <c r="F80" s="19"/>
      <c r="G80" s="19">
        <v>0</v>
      </c>
      <c r="H80" s="19"/>
      <c r="I80" s="19">
        <f>12.69-12.69</f>
        <v>0</v>
      </c>
      <c r="J80" s="19"/>
      <c r="K80" s="19">
        <f>14.12-14.12</f>
        <v>0</v>
      </c>
      <c r="L80" s="19"/>
      <c r="M80" s="19">
        <f>9.31-9.31</f>
        <v>0</v>
      </c>
      <c r="N80" s="19"/>
      <c r="O80" s="19">
        <v>0.16</v>
      </c>
      <c r="P80" s="19"/>
      <c r="Q80" s="19">
        <v>0</v>
      </c>
      <c r="R80" s="19"/>
      <c r="S80" s="19">
        <v>14.72</v>
      </c>
      <c r="T80" s="19"/>
      <c r="U80" s="19">
        <v>14.72</v>
      </c>
      <c r="V80" s="19"/>
      <c r="W80" s="19">
        <v>14.72</v>
      </c>
      <c r="X80" s="19"/>
      <c r="Y80" s="19">
        <v>14.72</v>
      </c>
      <c r="Z80" s="19"/>
      <c r="AA80" s="19">
        <v>14.72</v>
      </c>
      <c r="AB80" s="19"/>
      <c r="AC80" s="19">
        <v>14.72</v>
      </c>
      <c r="AD80" s="4">
        <f t="shared" ref="AD80:AD96" si="2">F80+H80+J80+L80+N80+P80+R80+T80+V80+X80+Z80+AB80</f>
        <v>0</v>
      </c>
      <c r="AE80" s="4">
        <f t="shared" ref="AE80:AE96" si="3">G80+I80+K80+M80+O80+Q80+S80+U80+W80+Y80+AA80+AC80</f>
        <v>88.48</v>
      </c>
      <c r="AF80" s="3"/>
      <c r="AG80" s="3">
        <v>88</v>
      </c>
    </row>
    <row r="81" spans="1:34" ht="31.5" customHeight="1" x14ac:dyDescent="0.3">
      <c r="A81" s="16" t="s">
        <v>70</v>
      </c>
      <c r="B81" s="16" t="s">
        <v>1</v>
      </c>
      <c r="C81" s="3"/>
      <c r="D81" s="3"/>
      <c r="E81" s="34">
        <v>1</v>
      </c>
      <c r="F81" s="3">
        <v>537.5</v>
      </c>
      <c r="G81" s="3">
        <v>41.9</v>
      </c>
      <c r="H81" s="3">
        <v>481.06</v>
      </c>
      <c r="I81" s="3">
        <v>37.5</v>
      </c>
      <c r="J81" s="3">
        <v>517.84</v>
      </c>
      <c r="K81" s="3">
        <v>40.369999999999997</v>
      </c>
      <c r="L81" s="3">
        <v>338.04</v>
      </c>
      <c r="M81" s="3">
        <v>26.35</v>
      </c>
      <c r="N81" s="3">
        <v>5.59</v>
      </c>
      <c r="O81" s="3">
        <v>0.44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386.36</v>
      </c>
      <c r="Y81" s="3">
        <v>30.12</v>
      </c>
      <c r="Z81" s="3">
        <v>511.83</v>
      </c>
      <c r="AA81" s="3">
        <v>39.9</v>
      </c>
      <c r="AB81" s="3">
        <v>554.80999999999995</v>
      </c>
      <c r="AC81" s="3">
        <v>43.25</v>
      </c>
      <c r="AD81" s="4">
        <f t="shared" si="2"/>
        <v>3333.0299999999997</v>
      </c>
      <c r="AE81" s="4">
        <f t="shared" si="3"/>
        <v>259.83000000000004</v>
      </c>
      <c r="AF81" s="3">
        <v>3300</v>
      </c>
      <c r="AG81" s="3">
        <v>231</v>
      </c>
      <c r="AH81" t="s">
        <v>1</v>
      </c>
    </row>
    <row r="82" spans="1:34" ht="19.8" customHeight="1" x14ac:dyDescent="0.3">
      <c r="A82" s="17" t="s">
        <v>50</v>
      </c>
      <c r="B82" s="16"/>
      <c r="C82" s="3"/>
      <c r="D82" s="3"/>
      <c r="E82" s="3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>
        <v>0</v>
      </c>
      <c r="T82" s="3"/>
      <c r="U82" s="3">
        <v>0</v>
      </c>
      <c r="V82" s="3"/>
      <c r="W82" s="3">
        <v>0</v>
      </c>
      <c r="X82" s="3"/>
      <c r="Y82" s="3">
        <v>15.4</v>
      </c>
      <c r="Z82" s="3"/>
      <c r="AA82" s="3">
        <v>20.399999999999999</v>
      </c>
      <c r="AB82" s="3"/>
      <c r="AC82" s="3">
        <v>22.11</v>
      </c>
      <c r="AD82" s="4"/>
      <c r="AE82" s="4"/>
      <c r="AF82" s="3"/>
      <c r="AG82" s="3"/>
    </row>
    <row r="83" spans="1:34" s="20" customFormat="1" ht="22.5" customHeight="1" x14ac:dyDescent="0.3">
      <c r="A83" s="17" t="s">
        <v>58</v>
      </c>
      <c r="B83" s="17"/>
      <c r="C83" s="19"/>
      <c r="D83" s="19"/>
      <c r="E83" s="35"/>
      <c r="F83" s="19"/>
      <c r="G83" s="19">
        <v>0</v>
      </c>
      <c r="H83" s="19"/>
      <c r="I83" s="19">
        <f>20.85-20.85</f>
        <v>0</v>
      </c>
      <c r="J83" s="19"/>
      <c r="K83" s="19">
        <f>22.35-22.35</f>
        <v>0</v>
      </c>
      <c r="L83" s="19"/>
      <c r="M83" s="19">
        <f>15.02-15.02</f>
        <v>0</v>
      </c>
      <c r="N83" s="19"/>
      <c r="O83" s="19">
        <v>1.47</v>
      </c>
      <c r="P83" s="19"/>
      <c r="Q83" s="19">
        <v>1.24</v>
      </c>
      <c r="R83" s="19"/>
      <c r="S83" s="19">
        <v>7.6</v>
      </c>
      <c r="T83" s="19"/>
      <c r="U83" s="19">
        <v>7.6</v>
      </c>
      <c r="V83" s="19"/>
      <c r="W83" s="19">
        <v>7.6</v>
      </c>
      <c r="X83" s="19"/>
      <c r="Y83" s="19">
        <v>7.6</v>
      </c>
      <c r="Z83" s="19"/>
      <c r="AA83" s="19">
        <v>7.6</v>
      </c>
      <c r="AB83" s="19"/>
      <c r="AC83" s="19">
        <v>7.6</v>
      </c>
      <c r="AD83" s="4">
        <f t="shared" si="2"/>
        <v>0</v>
      </c>
      <c r="AE83" s="4">
        <f t="shared" si="3"/>
        <v>48.31</v>
      </c>
      <c r="AF83" s="3"/>
      <c r="AG83" s="3">
        <v>48</v>
      </c>
    </row>
    <row r="84" spans="1:34" ht="33.75" customHeight="1" x14ac:dyDescent="0.3">
      <c r="A84" s="16" t="s">
        <v>24</v>
      </c>
      <c r="B84" s="16" t="s">
        <v>29</v>
      </c>
      <c r="C84" s="3"/>
      <c r="D84" s="3"/>
      <c r="E84" s="34">
        <v>3</v>
      </c>
      <c r="F84" s="3">
        <v>55.29</v>
      </c>
      <c r="G84" s="3">
        <v>4.3099999999999996</v>
      </c>
      <c r="H84" s="3">
        <v>15.99</v>
      </c>
      <c r="I84" s="3">
        <v>1.25</v>
      </c>
      <c r="J84" s="3">
        <v>34.840000000000003</v>
      </c>
      <c r="K84" s="3">
        <v>2.72</v>
      </c>
      <c r="L84" s="3">
        <v>16.100000000000001</v>
      </c>
      <c r="M84" s="3">
        <v>1.25</v>
      </c>
      <c r="N84" s="3">
        <v>7.84</v>
      </c>
      <c r="O84" s="3">
        <v>0.61</v>
      </c>
      <c r="P84" s="3">
        <v>7.37</v>
      </c>
      <c r="Q84" s="3">
        <v>0.56999999999999995</v>
      </c>
      <c r="R84" s="3">
        <v>22.31</v>
      </c>
      <c r="S84" s="3">
        <v>1.74</v>
      </c>
      <c r="T84" s="3">
        <v>159.11000000000001</v>
      </c>
      <c r="U84" s="3">
        <v>12.4</v>
      </c>
      <c r="V84" s="3">
        <v>7.28</v>
      </c>
      <c r="W84" s="3">
        <v>0.56999999999999995</v>
      </c>
      <c r="X84" s="3">
        <v>9.0399999999999991</v>
      </c>
      <c r="Y84" s="3">
        <v>0.7</v>
      </c>
      <c r="Z84" s="3">
        <v>10.42</v>
      </c>
      <c r="AA84" s="3">
        <v>0.81</v>
      </c>
      <c r="AB84" s="3">
        <v>27.28</v>
      </c>
      <c r="AC84" s="3">
        <v>2.13</v>
      </c>
      <c r="AD84" s="4">
        <f t="shared" si="2"/>
        <v>372.87</v>
      </c>
      <c r="AE84" s="4">
        <f t="shared" si="3"/>
        <v>29.06</v>
      </c>
      <c r="AF84" s="3">
        <v>373</v>
      </c>
      <c r="AG84" s="3">
        <v>30</v>
      </c>
      <c r="AH84" t="s">
        <v>18</v>
      </c>
    </row>
    <row r="85" spans="1:34" s="20" customFormat="1" ht="21.75" customHeight="1" x14ac:dyDescent="0.3">
      <c r="A85" s="17" t="s">
        <v>50</v>
      </c>
      <c r="B85" s="17"/>
      <c r="C85" s="19"/>
      <c r="D85" s="19"/>
      <c r="E85" s="35"/>
      <c r="F85" s="19"/>
      <c r="G85" s="19">
        <v>0</v>
      </c>
      <c r="H85" s="19"/>
      <c r="I85" s="19">
        <f>21.92-21.92</f>
        <v>0</v>
      </c>
      <c r="J85" s="19"/>
      <c r="K85" s="19">
        <f>21.92-21.92</f>
        <v>0</v>
      </c>
      <c r="L85" s="19"/>
      <c r="M85" s="19">
        <f>21.92-21.92</f>
        <v>0</v>
      </c>
      <c r="N85" s="19"/>
      <c r="O85" s="19">
        <v>21.92</v>
      </c>
      <c r="P85" s="19"/>
      <c r="Q85" s="19">
        <v>21.92</v>
      </c>
      <c r="R85" s="19"/>
      <c r="S85" s="19">
        <v>0.89</v>
      </c>
      <c r="T85" s="19"/>
      <c r="U85" s="19">
        <v>6.34</v>
      </c>
      <c r="V85" s="19"/>
      <c r="W85" s="19">
        <v>0.28999999999999998</v>
      </c>
      <c r="X85" s="19"/>
      <c r="Y85" s="19">
        <v>0.36</v>
      </c>
      <c r="Z85" s="19"/>
      <c r="AA85" s="19">
        <v>0.42</v>
      </c>
      <c r="AB85" s="19"/>
      <c r="AC85" s="19">
        <v>1.0900000000000001</v>
      </c>
      <c r="AD85" s="4">
        <f t="shared" si="2"/>
        <v>0</v>
      </c>
      <c r="AE85" s="4">
        <f t="shared" si="3"/>
        <v>53.230000000000011</v>
      </c>
      <c r="AF85" s="3"/>
      <c r="AG85" s="3">
        <v>53</v>
      </c>
    </row>
    <row r="86" spans="1:34" s="20" customFormat="1" ht="21.75" customHeight="1" x14ac:dyDescent="0.3">
      <c r="A86" s="17" t="s">
        <v>53</v>
      </c>
      <c r="B86" s="17"/>
      <c r="C86" s="19"/>
      <c r="D86" s="19"/>
      <c r="E86" s="35"/>
      <c r="F86" s="19"/>
      <c r="G86" s="19">
        <v>0</v>
      </c>
      <c r="H86" s="19"/>
      <c r="I86" s="19">
        <f>0.71-0.71</f>
        <v>0</v>
      </c>
      <c r="J86" s="19"/>
      <c r="K86" s="19">
        <f>1.54-1.54</f>
        <v>0</v>
      </c>
      <c r="L86" s="19"/>
      <c r="M86" s="19">
        <f>0.71-0.71</f>
        <v>0</v>
      </c>
      <c r="N86" s="19"/>
      <c r="O86" s="19">
        <v>0.35</v>
      </c>
      <c r="P86" s="19"/>
      <c r="Q86" s="19">
        <v>0.33</v>
      </c>
      <c r="R86" s="19"/>
      <c r="S86" s="19">
        <v>23</v>
      </c>
      <c r="T86" s="19"/>
      <c r="U86" s="19">
        <v>23</v>
      </c>
      <c r="V86" s="19"/>
      <c r="W86" s="19">
        <v>23</v>
      </c>
      <c r="X86" s="19"/>
      <c r="Y86" s="19">
        <v>23</v>
      </c>
      <c r="Z86" s="19"/>
      <c r="AA86" s="19">
        <v>23</v>
      </c>
      <c r="AB86" s="19"/>
      <c r="AC86" s="19">
        <v>23</v>
      </c>
      <c r="AD86" s="4">
        <f t="shared" si="2"/>
        <v>0</v>
      </c>
      <c r="AE86" s="4">
        <f t="shared" si="3"/>
        <v>138.68</v>
      </c>
      <c r="AF86" s="3"/>
      <c r="AG86" s="3">
        <v>139</v>
      </c>
    </row>
    <row r="87" spans="1:34" ht="32.25" customHeight="1" x14ac:dyDescent="0.3">
      <c r="A87" s="16" t="s">
        <v>71</v>
      </c>
      <c r="B87" s="16" t="s">
        <v>1</v>
      </c>
      <c r="C87" s="3"/>
      <c r="D87" s="3"/>
      <c r="E87" s="34">
        <v>1</v>
      </c>
      <c r="F87" s="3">
        <v>541.45000000000005</v>
      </c>
      <c r="G87" s="3">
        <v>42.21</v>
      </c>
      <c r="H87" s="3">
        <v>484.4</v>
      </c>
      <c r="I87" s="3">
        <v>37.76</v>
      </c>
      <c r="J87" s="3">
        <v>511.54</v>
      </c>
      <c r="K87" s="3">
        <v>39.869999999999997</v>
      </c>
      <c r="L87" s="3">
        <v>326.64999999999998</v>
      </c>
      <c r="M87" s="3">
        <v>25.46</v>
      </c>
      <c r="N87" s="3">
        <v>5.14</v>
      </c>
      <c r="O87" s="3">
        <v>0.4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377.77</v>
      </c>
      <c r="Y87" s="3">
        <v>29.45</v>
      </c>
      <c r="Z87" s="3">
        <v>508.05</v>
      </c>
      <c r="AA87" s="3">
        <v>39.6</v>
      </c>
      <c r="AB87" s="3">
        <v>564.41</v>
      </c>
      <c r="AC87" s="3">
        <v>44</v>
      </c>
      <c r="AD87" s="4">
        <f t="shared" si="2"/>
        <v>3319.41</v>
      </c>
      <c r="AE87" s="4">
        <f t="shared" si="3"/>
        <v>258.75</v>
      </c>
      <c r="AF87" s="3">
        <v>3300</v>
      </c>
      <c r="AG87" s="3">
        <v>231</v>
      </c>
      <c r="AH87" t="s">
        <v>1</v>
      </c>
    </row>
    <row r="88" spans="1:34" ht="21" customHeight="1" x14ac:dyDescent="0.3">
      <c r="A88" s="17" t="s">
        <v>50</v>
      </c>
      <c r="B88" s="16"/>
      <c r="C88" s="3"/>
      <c r="D88" s="3"/>
      <c r="E88" s="3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>
        <v>0</v>
      </c>
      <c r="T88" s="3"/>
      <c r="U88" s="3">
        <v>0</v>
      </c>
      <c r="V88" s="3"/>
      <c r="W88" s="3">
        <v>0</v>
      </c>
      <c r="X88" s="3"/>
      <c r="Y88" s="3">
        <v>15.05</v>
      </c>
      <c r="Z88" s="3"/>
      <c r="AA88" s="3">
        <v>20.25</v>
      </c>
      <c r="AB88" s="3"/>
      <c r="AC88" s="3">
        <v>22.49</v>
      </c>
      <c r="AD88" s="4"/>
      <c r="AE88" s="4"/>
      <c r="AF88" s="3"/>
      <c r="AG88" s="3"/>
    </row>
    <row r="89" spans="1:34" s="20" customFormat="1" ht="18" customHeight="1" x14ac:dyDescent="0.3">
      <c r="A89" s="17" t="s">
        <v>58</v>
      </c>
      <c r="B89" s="17"/>
      <c r="C89" s="19"/>
      <c r="D89" s="19"/>
      <c r="E89" s="35"/>
      <c r="F89" s="19"/>
      <c r="G89" s="19">
        <v>0</v>
      </c>
      <c r="H89" s="19"/>
      <c r="I89" s="19">
        <f>20.98-20.98</f>
        <v>0</v>
      </c>
      <c r="J89" s="19"/>
      <c r="K89" s="19">
        <f>22.09-22.09</f>
        <v>0</v>
      </c>
      <c r="L89" s="19"/>
      <c r="M89" s="19">
        <f>14.55-14.55</f>
        <v>0</v>
      </c>
      <c r="N89" s="19"/>
      <c r="O89" s="19">
        <v>1.45</v>
      </c>
      <c r="P89" s="19"/>
      <c r="Q89" s="19">
        <v>1.24</v>
      </c>
      <c r="R89" s="19"/>
      <c r="S89" s="19">
        <v>7.6</v>
      </c>
      <c r="T89" s="19"/>
      <c r="U89" s="19">
        <v>7.6</v>
      </c>
      <c r="V89" s="19"/>
      <c r="W89" s="19">
        <v>7.6</v>
      </c>
      <c r="X89" s="19"/>
      <c r="Y89" s="19">
        <v>7.6</v>
      </c>
      <c r="Z89" s="19"/>
      <c r="AA89" s="19">
        <v>7.6</v>
      </c>
      <c r="AB89" s="19"/>
      <c r="AC89" s="19">
        <v>7.6</v>
      </c>
      <c r="AD89" s="4">
        <f t="shared" si="2"/>
        <v>0</v>
      </c>
      <c r="AE89" s="4">
        <f t="shared" si="3"/>
        <v>48.290000000000006</v>
      </c>
      <c r="AF89" s="3"/>
      <c r="AG89" s="3">
        <v>48</v>
      </c>
    </row>
    <row r="90" spans="1:34" ht="31.5" customHeight="1" x14ac:dyDescent="0.3">
      <c r="A90" s="16" t="s">
        <v>25</v>
      </c>
      <c r="B90" s="16" t="s">
        <v>34</v>
      </c>
      <c r="C90" s="3"/>
      <c r="D90" s="3"/>
      <c r="E90" s="34">
        <v>3</v>
      </c>
      <c r="F90" s="3">
        <v>12338</v>
      </c>
      <c r="G90" s="3">
        <v>961.75</v>
      </c>
      <c r="H90" s="3">
        <v>12654</v>
      </c>
      <c r="I90" s="3">
        <v>986.38</v>
      </c>
      <c r="J90" s="3">
        <v>12742</v>
      </c>
      <c r="K90" s="3">
        <v>993.24</v>
      </c>
      <c r="L90" s="3">
        <v>10250</v>
      </c>
      <c r="M90" s="3">
        <v>798.99</v>
      </c>
      <c r="N90" s="3">
        <v>11721</v>
      </c>
      <c r="O90" s="3">
        <v>913.65</v>
      </c>
      <c r="P90" s="3">
        <v>12212</v>
      </c>
      <c r="Q90" s="3">
        <v>951.93</v>
      </c>
      <c r="R90" s="3">
        <v>10097</v>
      </c>
      <c r="S90" s="3">
        <v>787.06</v>
      </c>
      <c r="T90" s="3">
        <v>8639</v>
      </c>
      <c r="U90" s="3">
        <v>673.41</v>
      </c>
      <c r="V90" s="3">
        <v>8386</v>
      </c>
      <c r="W90" s="3">
        <v>653.69000000000005</v>
      </c>
      <c r="X90" s="3">
        <v>8489</v>
      </c>
      <c r="Y90" s="3">
        <v>661.72</v>
      </c>
      <c r="Z90" s="3">
        <v>8290</v>
      </c>
      <c r="AA90" s="3">
        <v>646.21</v>
      </c>
      <c r="AB90" s="3">
        <v>9428</v>
      </c>
      <c r="AC90" s="3">
        <v>734.91</v>
      </c>
      <c r="AD90" s="4">
        <f t="shared" si="2"/>
        <v>125246</v>
      </c>
      <c r="AE90" s="4">
        <f t="shared" si="3"/>
        <v>9762.9399999999987</v>
      </c>
      <c r="AF90" s="3">
        <v>125300</v>
      </c>
      <c r="AG90" s="3">
        <v>9766</v>
      </c>
      <c r="AH90" t="s">
        <v>10</v>
      </c>
    </row>
    <row r="91" spans="1:34" s="20" customFormat="1" ht="20.25" customHeight="1" x14ac:dyDescent="0.3">
      <c r="A91" s="17" t="s">
        <v>50</v>
      </c>
      <c r="B91" s="17"/>
      <c r="C91" s="19"/>
      <c r="D91" s="19"/>
      <c r="E91" s="35"/>
      <c r="F91" s="19"/>
      <c r="G91" s="19">
        <v>0</v>
      </c>
      <c r="H91" s="19"/>
      <c r="I91" s="19">
        <f>96.67-96.67</f>
        <v>0</v>
      </c>
      <c r="J91" s="19"/>
      <c r="K91" s="19">
        <f>96.67-96.67</f>
        <v>0</v>
      </c>
      <c r="L91" s="19"/>
      <c r="M91" s="19">
        <f>96.67-96.67</f>
        <v>0</v>
      </c>
      <c r="N91" s="19"/>
      <c r="O91" s="19">
        <v>96.67</v>
      </c>
      <c r="P91" s="19"/>
      <c r="Q91" s="19">
        <v>96.67</v>
      </c>
      <c r="R91" s="19"/>
      <c r="S91" s="19">
        <v>262.72000000000003</v>
      </c>
      <c r="T91" s="19"/>
      <c r="U91" s="19">
        <v>224.79</v>
      </c>
      <c r="V91" s="19"/>
      <c r="W91" s="19">
        <v>218.2</v>
      </c>
      <c r="X91" s="19"/>
      <c r="Y91" s="19">
        <v>220.88</v>
      </c>
      <c r="Z91" s="19"/>
      <c r="AA91" s="19">
        <v>215.71</v>
      </c>
      <c r="AB91" s="19"/>
      <c r="AC91" s="19">
        <v>245.32</v>
      </c>
      <c r="AD91" s="4">
        <f t="shared" si="2"/>
        <v>0</v>
      </c>
      <c r="AE91" s="4">
        <f t="shared" si="3"/>
        <v>1580.9599999999998</v>
      </c>
      <c r="AF91" s="3"/>
      <c r="AG91" s="3">
        <v>1581</v>
      </c>
    </row>
    <row r="92" spans="1:34" s="20" customFormat="1" ht="28.2" customHeight="1" x14ac:dyDescent="0.3">
      <c r="A92" s="17" t="s">
        <v>72</v>
      </c>
      <c r="B92" s="17"/>
      <c r="C92" s="19"/>
      <c r="D92" s="19"/>
      <c r="E92" s="35"/>
      <c r="F92" s="19"/>
      <c r="G92" s="19">
        <v>0</v>
      </c>
      <c r="H92" s="19"/>
      <c r="I92" s="19">
        <f>438.59-438.59</f>
        <v>0</v>
      </c>
      <c r="J92" s="19"/>
      <c r="K92" s="19">
        <f>441.64-441.64</f>
        <v>0</v>
      </c>
      <c r="L92" s="19"/>
      <c r="M92" s="19">
        <f>355.27-355.27</f>
        <v>0</v>
      </c>
      <c r="N92" s="19"/>
      <c r="O92" s="19">
        <v>406.25</v>
      </c>
      <c r="P92" s="19"/>
      <c r="Q92" s="19">
        <v>423.27</v>
      </c>
      <c r="R92" s="19"/>
      <c r="S92" s="19">
        <v>147.19999999999999</v>
      </c>
      <c r="T92" s="19"/>
      <c r="U92" s="19">
        <v>147.19999999999999</v>
      </c>
      <c r="V92" s="19"/>
      <c r="W92" s="19">
        <v>147.19999999999999</v>
      </c>
      <c r="X92" s="19"/>
      <c r="Y92" s="19">
        <v>147.19999999999999</v>
      </c>
      <c r="Z92" s="19"/>
      <c r="AA92" s="19">
        <v>147.19999999999999</v>
      </c>
      <c r="AB92" s="19"/>
      <c r="AC92" s="19">
        <v>147.19999999999999</v>
      </c>
      <c r="AD92" s="4">
        <f t="shared" si="2"/>
        <v>0</v>
      </c>
      <c r="AE92" s="4">
        <f t="shared" si="3"/>
        <v>1712.7200000000003</v>
      </c>
      <c r="AF92" s="3"/>
      <c r="AG92" s="3">
        <v>1541</v>
      </c>
    </row>
    <row r="93" spans="1:34" ht="18" customHeight="1" x14ac:dyDescent="0.3">
      <c r="A93" s="4" t="s">
        <v>26</v>
      </c>
      <c r="B93" s="4" t="s">
        <v>29</v>
      </c>
      <c r="C93" s="3"/>
      <c r="D93" s="3"/>
      <c r="E93" s="34">
        <v>3</v>
      </c>
      <c r="F93" s="3">
        <v>141.84</v>
      </c>
      <c r="G93" s="3">
        <v>11.06</v>
      </c>
      <c r="H93" s="3">
        <v>81.069999999999993</v>
      </c>
      <c r="I93" s="3">
        <v>6.32</v>
      </c>
      <c r="J93" s="3">
        <v>141.41</v>
      </c>
      <c r="K93" s="3">
        <v>11.02</v>
      </c>
      <c r="L93" s="3">
        <v>39.5</v>
      </c>
      <c r="M93" s="3">
        <v>3.08</v>
      </c>
      <c r="N93" s="3">
        <v>13.61</v>
      </c>
      <c r="O93" s="3">
        <v>1.06</v>
      </c>
      <c r="P93" s="3">
        <v>7.77</v>
      </c>
      <c r="Q93" s="3">
        <v>0.61</v>
      </c>
      <c r="R93" s="3">
        <v>8.3000000000000007</v>
      </c>
      <c r="S93" s="3">
        <v>0.65</v>
      </c>
      <c r="T93" s="3">
        <v>11.11</v>
      </c>
      <c r="U93" s="3">
        <v>0.87</v>
      </c>
      <c r="V93" s="3">
        <v>8.92</v>
      </c>
      <c r="W93" s="3">
        <v>0.7</v>
      </c>
      <c r="X93" s="3">
        <v>23.62</v>
      </c>
      <c r="Y93" s="3">
        <v>1.84</v>
      </c>
      <c r="Z93" s="3">
        <v>38.35</v>
      </c>
      <c r="AA93" s="3">
        <v>2.99</v>
      </c>
      <c r="AB93" s="3">
        <v>133.41999999999999</v>
      </c>
      <c r="AC93" s="3">
        <v>10.4</v>
      </c>
      <c r="AD93" s="4">
        <f t="shared" si="2"/>
        <v>648.91999999999996</v>
      </c>
      <c r="AE93" s="4">
        <f t="shared" si="3"/>
        <v>50.600000000000009</v>
      </c>
      <c r="AF93" s="3">
        <v>650</v>
      </c>
      <c r="AG93" s="3">
        <v>52</v>
      </c>
      <c r="AH93" t="s">
        <v>18</v>
      </c>
    </row>
    <row r="94" spans="1:34" s="20" customFormat="1" ht="18" customHeight="1" x14ac:dyDescent="0.3">
      <c r="A94" s="17" t="s">
        <v>50</v>
      </c>
      <c r="B94" s="17"/>
      <c r="C94" s="19"/>
      <c r="D94" s="19"/>
      <c r="E94" s="35"/>
      <c r="F94" s="19"/>
      <c r="G94" s="19">
        <v>0</v>
      </c>
      <c r="H94" s="19"/>
      <c r="I94" s="19">
        <f>14.03-14.03</f>
        <v>0</v>
      </c>
      <c r="J94" s="19"/>
      <c r="K94" s="19">
        <f>14.03-14.03</f>
        <v>0</v>
      </c>
      <c r="L94" s="19"/>
      <c r="M94" s="19">
        <f>14.03-14.03</f>
        <v>0</v>
      </c>
      <c r="N94" s="19"/>
      <c r="O94" s="19">
        <v>14.03</v>
      </c>
      <c r="P94" s="19"/>
      <c r="Q94" s="19">
        <v>14.03</v>
      </c>
      <c r="R94" s="19"/>
      <c r="S94" s="19">
        <v>0.33</v>
      </c>
      <c r="T94" s="19"/>
      <c r="U94" s="19">
        <v>0.44</v>
      </c>
      <c r="V94" s="19"/>
      <c r="W94" s="19">
        <v>0.36</v>
      </c>
      <c r="X94" s="19"/>
      <c r="Y94" s="19">
        <v>0.94</v>
      </c>
      <c r="Z94" s="19"/>
      <c r="AA94" s="19">
        <v>1.53</v>
      </c>
      <c r="AB94" s="19"/>
      <c r="AC94" s="19">
        <v>5.32</v>
      </c>
      <c r="AD94" s="4">
        <f t="shared" si="2"/>
        <v>0</v>
      </c>
      <c r="AE94" s="4">
        <f t="shared" si="3"/>
        <v>36.980000000000004</v>
      </c>
      <c r="AF94" s="3"/>
      <c r="AG94" s="3">
        <v>37</v>
      </c>
    </row>
    <row r="95" spans="1:34" s="20" customFormat="1" ht="18" customHeight="1" x14ac:dyDescent="0.3">
      <c r="A95" s="17" t="s">
        <v>64</v>
      </c>
      <c r="B95" s="17"/>
      <c r="C95" s="19"/>
      <c r="D95" s="19"/>
      <c r="E95" s="35"/>
      <c r="F95" s="19"/>
      <c r="G95" s="19">
        <v>0</v>
      </c>
      <c r="H95" s="19"/>
      <c r="I95" s="19">
        <f>3.58-3.58</f>
        <v>0</v>
      </c>
      <c r="J95" s="19"/>
      <c r="K95" s="19">
        <f>6.25-6.25</f>
        <v>0</v>
      </c>
      <c r="L95" s="19"/>
      <c r="M95" s="19">
        <f>1.75-1.75</f>
        <v>0</v>
      </c>
      <c r="N95" s="19"/>
      <c r="O95" s="19">
        <v>0.6</v>
      </c>
      <c r="P95" s="19"/>
      <c r="Q95" s="19">
        <v>0.34</v>
      </c>
      <c r="R95" s="19"/>
      <c r="S95" s="19">
        <v>14.72</v>
      </c>
      <c r="T95" s="19"/>
      <c r="U95" s="19">
        <v>14.72</v>
      </c>
      <c r="V95" s="19"/>
      <c r="W95" s="19">
        <v>14.72</v>
      </c>
      <c r="X95" s="19"/>
      <c r="Y95" s="19">
        <v>14.72</v>
      </c>
      <c r="Z95" s="19"/>
      <c r="AA95" s="19">
        <v>14.72</v>
      </c>
      <c r="AB95" s="19"/>
      <c r="AC95" s="19">
        <v>14.72</v>
      </c>
      <c r="AD95" s="4">
        <f t="shared" si="2"/>
        <v>0</v>
      </c>
      <c r="AE95" s="4">
        <f t="shared" si="3"/>
        <v>89.26</v>
      </c>
      <c r="AF95" s="3"/>
      <c r="AG95" s="3">
        <v>90</v>
      </c>
    </row>
    <row r="96" spans="1:34" ht="21" customHeight="1" x14ac:dyDescent="0.3">
      <c r="A96" s="3"/>
      <c r="B96" s="3"/>
      <c r="C96" s="11">
        <f t="shared" ref="C96:J96" si="4">SUM(C9:C93)</f>
        <v>0</v>
      </c>
      <c r="D96" s="4">
        <f>SUM(D9:D95)</f>
        <v>0</v>
      </c>
      <c r="E96" s="39"/>
      <c r="F96" s="4">
        <f t="shared" si="4"/>
        <v>35001.270000000004</v>
      </c>
      <c r="G96" s="4">
        <f>SUM(G9:G95)</f>
        <v>2728.3700000000003</v>
      </c>
      <c r="H96" s="4">
        <f t="shared" si="4"/>
        <v>32197.77</v>
      </c>
      <c r="I96" s="4">
        <f>SUM(I9:I95)</f>
        <v>2509.81</v>
      </c>
      <c r="J96" s="4">
        <f t="shared" si="4"/>
        <v>33866.67</v>
      </c>
      <c r="K96" s="11">
        <f>SUM(K9:K95)</f>
        <v>2639.9100000000003</v>
      </c>
      <c r="L96" s="4">
        <f>SUM(L9:L93)</f>
        <v>24780.81</v>
      </c>
      <c r="M96" s="4">
        <f>SUM(M9:M95)</f>
        <v>1931.67</v>
      </c>
      <c r="N96" s="4">
        <f>SUM(N9:N93)</f>
        <v>15641.150000000001</v>
      </c>
      <c r="O96" s="4">
        <f>SUM(O9:O95)</f>
        <v>2400.79</v>
      </c>
      <c r="P96" s="4">
        <f t="shared" ref="P96:Y96" si="5">SUM(P9:P95)</f>
        <v>15362.45</v>
      </c>
      <c r="Q96" s="4">
        <f t="shared" si="5"/>
        <v>2366.1000000000004</v>
      </c>
      <c r="R96" s="4">
        <f t="shared" si="5"/>
        <v>13308.029999999999</v>
      </c>
      <c r="S96" s="4">
        <f t="shared" si="5"/>
        <v>2178.41</v>
      </c>
      <c r="T96" s="4">
        <f t="shared" si="5"/>
        <v>13454.810000000001</v>
      </c>
      <c r="U96" s="4">
        <f t="shared" si="5"/>
        <v>2215.5299999999988</v>
      </c>
      <c r="V96" s="4">
        <f t="shared" si="5"/>
        <v>12445.18</v>
      </c>
      <c r="W96" s="4">
        <f t="shared" si="5"/>
        <v>2101.7599999999998</v>
      </c>
      <c r="X96" s="4">
        <f t="shared" si="5"/>
        <v>21390.460000000003</v>
      </c>
      <c r="Y96" s="4">
        <f t="shared" si="5"/>
        <v>3143.0199999999995</v>
      </c>
      <c r="Z96" s="4">
        <f>SUM(Z9:Z95)</f>
        <v>27411.309999999998</v>
      </c>
      <c r="AA96" s="11">
        <f>SUM(AA9:AA95)</f>
        <v>3853.1299999999987</v>
      </c>
      <c r="AB96" s="11">
        <f>SUM(AB9:AB95)</f>
        <v>34757.19</v>
      </c>
      <c r="AC96" s="11">
        <f>SUM(AC9:AC95)</f>
        <v>4696.2999999999984</v>
      </c>
      <c r="AD96" s="4">
        <f t="shared" si="2"/>
        <v>279617.09999999998</v>
      </c>
      <c r="AE96" s="4">
        <f t="shared" si="3"/>
        <v>32764.799999999992</v>
      </c>
      <c r="AF96" s="4">
        <v>280474</v>
      </c>
      <c r="AG96" s="4"/>
    </row>
    <row r="97" spans="4:33" x14ac:dyDescent="0.3">
      <c r="D97" s="26">
        <v>0.12581945999999999</v>
      </c>
      <c r="G97" s="25"/>
      <c r="I97" s="25"/>
      <c r="K97" s="25"/>
      <c r="M97" s="25"/>
      <c r="O97" s="25"/>
      <c r="Q97" s="25"/>
      <c r="S97" s="25"/>
      <c r="U97" s="25"/>
      <c r="W97" s="25"/>
      <c r="Y97" s="25"/>
      <c r="AA97" s="25"/>
      <c r="AB97" s="20"/>
      <c r="AC97" s="20"/>
      <c r="AG97">
        <f>SUM(AG9:AG96)</f>
        <v>34170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Rita Audrina</cp:lastModifiedBy>
  <cp:lastPrinted>2024-04-22T20:12:26Z</cp:lastPrinted>
  <dcterms:created xsi:type="dcterms:W3CDTF">2022-04-11T10:24:19Z</dcterms:created>
  <dcterms:modified xsi:type="dcterms:W3CDTF">2024-06-05T06:29:02Z</dcterms:modified>
</cp:coreProperties>
</file>